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drawings/drawing1.xml" ContentType="application/vnd.openxmlformats-officedocument.drawing+xml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drawings/drawing2.xml" ContentType="application/vnd.openxmlformats-officedocument.drawing+xml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5/Citizens/SX-PQ/Cycle 8 Annual Filing/SX-PQ Cycle 8 July Posting/"/>
    </mc:Choice>
  </mc:AlternateContent>
  <xr:revisionPtr revIDLastSave="43" documentId="13_ncr:1_{446465B5-BC60-4FEC-A6C1-0C688D0AC88A}" xr6:coauthVersionLast="47" xr6:coauthVersionMax="47" xr10:uidLastSave="{6BC7E8D1-FD75-4E9B-93A2-5F423C8D11D7}"/>
  <bookViews>
    <workbookView xWindow="8670" yWindow="345" windowWidth="20010" windowHeight="14880" tabRatio="815" xr2:uid="{00000000-000D-0000-FFFF-FFFF00000000}"/>
  </bookViews>
  <sheets>
    <sheet name="Summary of Cost Components" sheetId="112" r:id="rId1"/>
    <sheet name="A. Sec.1 - Direct Maintenance" sheetId="111" r:id="rId2"/>
    <sheet name="B. Sec.2 - Non-Direct Expenses" sheetId="113" r:id="rId3"/>
    <sheet name="C. Sec.3 - Other Costs" sheetId="114" r:id="rId4"/>
    <sheet name="D. Sec.4 - TU" sheetId="156" r:id="rId5"/>
    <sheet name="D1. Sec.4 - C7 Invoice Summary" sheetId="154" r:id="rId6"/>
    <sheet name="D2. Sec.4 - C6 Invoice Summary" sheetId="169" r:id="rId7"/>
    <sheet name="E. Sec.5 - Interest TU (BP)" sheetId="157" r:id="rId8"/>
    <sheet name="E1. Sec.5 - Interest TU (CY)" sheetId="158" r:id="rId9"/>
    <sheet name="F. Sec.6 - Cost Stmnts" sheetId="160" r:id="rId10"/>
    <sheet name="Stmt AD" sheetId="2" r:id="rId11"/>
    <sheet name="AD-1" sheetId="4" r:id="rId12"/>
    <sheet name="AD-2" sheetId="5" r:id="rId13"/>
    <sheet name="AD-3" sheetId="6" r:id="rId14"/>
    <sheet name="AD-4" sheetId="7" r:id="rId15"/>
    <sheet name="AD-5" sheetId="8" r:id="rId16"/>
    <sheet name="AD-6" sheetId="9" r:id="rId17"/>
    <sheet name="AD-6A" sheetId="168" r:id="rId18"/>
    <sheet name="AD-6B" sheetId="10" r:id="rId19"/>
    <sheet name="AD-6C" sheetId="11" r:id="rId20"/>
    <sheet name="AD-7" sheetId="163" r:id="rId21"/>
    <sheet name="AD-8" sheetId="3" r:id="rId22"/>
    <sheet name="AD-9" sheetId="13" r:id="rId23"/>
    <sheet name="AD-10" sheetId="14" r:id="rId24"/>
    <sheet name="Stmt AE" sheetId="22" r:id="rId25"/>
    <sheet name="AE-1" sheetId="23" r:id="rId26"/>
    <sheet name="AE-1A" sheetId="136" r:id="rId27"/>
    <sheet name="AE-1B" sheetId="24" r:id="rId28"/>
    <sheet name="AE-1C" sheetId="152" r:id="rId29"/>
    <sheet name="AE-2" sheetId="25" r:id="rId30"/>
    <sheet name="AE-3" sheetId="26" r:id="rId31"/>
    <sheet name="AE-4" sheetId="27" r:id="rId32"/>
    <sheet name="Stmt AF" sheetId="34" r:id="rId33"/>
    <sheet name="AF-1" sheetId="165" r:id="rId34"/>
    <sheet name="AF-2" sheetId="167" r:id="rId35"/>
    <sheet name="AF-3" sheetId="135" r:id="rId36"/>
    <sheet name="Stmt AG" sheetId="38" r:id="rId37"/>
    <sheet name="AG-1" sheetId="109" r:id="rId38"/>
    <sheet name="AG-1A" sheetId="159" r:id="rId39"/>
    <sheet name="Stmt AH" sheetId="40" r:id="rId40"/>
    <sheet name="AH-1" sheetId="153" r:id="rId41"/>
    <sheet name="AH-2" sheetId="41" r:id="rId42"/>
    <sheet name="AH-3" sheetId="42" r:id="rId43"/>
    <sheet name="Stmt AI" sheetId="45" r:id="rId44"/>
    <sheet name="AI-1" sheetId="150" r:id="rId45"/>
    <sheet name="Stmt AJ" sheetId="46" r:id="rId46"/>
    <sheet name="AJ-1" sheetId="56" r:id="rId47"/>
    <sheet name="AJ-2" sheetId="59" r:id="rId48"/>
    <sheet name="Stmt AK" sheetId="66" r:id="rId49"/>
    <sheet name="Stmt AL" sheetId="69" r:id="rId50"/>
    <sheet name="AL-1" sheetId="70" r:id="rId51"/>
    <sheet name="AL-2" sheetId="71" r:id="rId52"/>
    <sheet name="Stmt AR" sheetId="75" r:id="rId53"/>
    <sheet name="AR-1" sheetId="161" r:id="rId54"/>
    <sheet name="Stmt AV" sheetId="82" r:id="rId55"/>
    <sheet name="AV-2A" sheetId="84" r:id="rId56"/>
    <sheet name="AV-2B" sheetId="85" r:id="rId57"/>
    <sheet name="AV-4" sheetId="146" r:id="rId58"/>
    <sheet name="Stmt Misc." sheetId="162" r:id="rId59"/>
    <sheet name="Automation" sheetId="151" r:id="rId60"/>
  </sheets>
  <definedNames>
    <definedName name="____May2007" hidden="1">{"2002Frcst","05Month",FALSE,"Frcst Format 2002"}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May2007" hidden="1">{"2002Frcst","05Month",FALSE,"Frcst Format 2002"}</definedName>
    <definedName name="__123Graph_A" localSheetId="34" hidden="1">#REF!</definedName>
    <definedName name="__123Graph_A" localSheetId="38" hidden="1">#REF!</definedName>
    <definedName name="__123Graph_A" localSheetId="53" hidden="1">#REF!</definedName>
    <definedName name="__123Graph_A" localSheetId="4" hidden="1">#REF!</definedName>
    <definedName name="__123Graph_A" localSheetId="5" hidden="1">#REF!</definedName>
    <definedName name="__123Graph_A" localSheetId="7" hidden="1">#REF!</definedName>
    <definedName name="__123Graph_A" localSheetId="8" hidden="1">#REF!</definedName>
    <definedName name="__123Graph_A" localSheetId="48" hidden="1">#REF!</definedName>
    <definedName name="__123Graph_A" localSheetId="54" hidden="1">#REF!</definedName>
    <definedName name="__123Graph_A" localSheetId="58" hidden="1">#REF!</definedName>
    <definedName name="__123Graph_A" hidden="1">#REF!</definedName>
    <definedName name="__123Graph_AGraph2" localSheetId="34" hidden="1">#REF!</definedName>
    <definedName name="__123Graph_AGraph2" localSheetId="38" hidden="1">#REF!</definedName>
    <definedName name="__123Graph_AGraph2" localSheetId="53" hidden="1">#REF!</definedName>
    <definedName name="__123Graph_AGraph2" localSheetId="4" hidden="1">#REF!</definedName>
    <definedName name="__123Graph_AGraph2" localSheetId="5" hidden="1">#REF!</definedName>
    <definedName name="__123Graph_AGraph2" localSheetId="58" hidden="1">#REF!</definedName>
    <definedName name="__123Graph_AGraph2" hidden="1">#REF!</definedName>
    <definedName name="__123Graph_AGraph4" localSheetId="34" hidden="1">#REF!</definedName>
    <definedName name="__123Graph_AGraph4" localSheetId="38" hidden="1">#REF!</definedName>
    <definedName name="__123Graph_AGraph4" localSheetId="53" hidden="1">#REF!</definedName>
    <definedName name="__123Graph_AGraph4" localSheetId="4" hidden="1">#REF!</definedName>
    <definedName name="__123Graph_AGraph4" localSheetId="5" hidden="1">#REF!</definedName>
    <definedName name="__123Graph_AGraph4" localSheetId="58" hidden="1">#REF!</definedName>
    <definedName name="__123Graph_AGraph4" hidden="1">#REF!</definedName>
    <definedName name="__123Graph_B" localSheetId="34" hidden="1">#REF!</definedName>
    <definedName name="__123Graph_B" localSheetId="38" hidden="1">#REF!</definedName>
    <definedName name="__123Graph_B" localSheetId="53" hidden="1">#REF!</definedName>
    <definedName name="__123Graph_B" localSheetId="4" hidden="1">#REF!</definedName>
    <definedName name="__123Graph_B" localSheetId="5" hidden="1">#REF!</definedName>
    <definedName name="__123Graph_B" localSheetId="7" hidden="1">#REF!</definedName>
    <definedName name="__123Graph_B" localSheetId="8" hidden="1">#REF!</definedName>
    <definedName name="__123Graph_B" localSheetId="48" hidden="1">#REF!</definedName>
    <definedName name="__123Graph_B" localSheetId="54" hidden="1">#REF!</definedName>
    <definedName name="__123Graph_B" localSheetId="58" hidden="1">#REF!</definedName>
    <definedName name="__123Graph_B" hidden="1">#REF!</definedName>
    <definedName name="__123Graph_C" localSheetId="34" hidden="1">#REF!</definedName>
    <definedName name="__123Graph_C" localSheetId="38" hidden="1">#REF!</definedName>
    <definedName name="__123Graph_C" localSheetId="53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48" hidden="1">#REF!</definedName>
    <definedName name="__123Graph_C" localSheetId="54" hidden="1">#REF!</definedName>
    <definedName name="__123Graph_C" localSheetId="58" hidden="1">#REF!</definedName>
    <definedName name="__123Graph_C" hidden="1">#REF!</definedName>
    <definedName name="__123Graph_CCHART1" localSheetId="34" hidden="1">#REF!</definedName>
    <definedName name="__123Graph_CCHART1" localSheetId="53" hidden="1">#REF!</definedName>
    <definedName name="__123Graph_CCHART1" localSheetId="5" hidden="1">#REF!</definedName>
    <definedName name="__123Graph_CCHART1" hidden="1">#REF!</definedName>
    <definedName name="__123Graph_CCHART2" localSheetId="34" hidden="1">#REF!</definedName>
    <definedName name="__123Graph_CCHART2" localSheetId="53" hidden="1">#REF!</definedName>
    <definedName name="__123Graph_CCHART2" localSheetId="5" hidden="1">#REF!</definedName>
    <definedName name="__123Graph_CCHART2" hidden="1">#REF!</definedName>
    <definedName name="__123Graph_CCHART3" localSheetId="34" hidden="1">#REF!</definedName>
    <definedName name="__123Graph_CCHART3" localSheetId="53" hidden="1">#REF!</definedName>
    <definedName name="__123Graph_CCHART3" localSheetId="5" hidden="1">#REF!</definedName>
    <definedName name="__123Graph_CCHART3" hidden="1">#REF!</definedName>
    <definedName name="__123Graph_CCHART4" localSheetId="34" hidden="1">#REF!</definedName>
    <definedName name="__123Graph_CCHART4" localSheetId="53" hidden="1">#REF!</definedName>
    <definedName name="__123Graph_CCHART4" localSheetId="5" hidden="1">#REF!</definedName>
    <definedName name="__123Graph_CCHART4" hidden="1">#REF!</definedName>
    <definedName name="__123Graph_CCHART5" localSheetId="34" hidden="1">#REF!</definedName>
    <definedName name="__123Graph_CCHART5" localSheetId="53" hidden="1">#REF!</definedName>
    <definedName name="__123Graph_CCHART5" localSheetId="5" hidden="1">#REF!</definedName>
    <definedName name="__123Graph_CCHART5" hidden="1">#REF!</definedName>
    <definedName name="__123Graph_D" localSheetId="34" hidden="1">#REF!</definedName>
    <definedName name="__123Graph_D" localSheetId="38" hidden="1">#REF!</definedName>
    <definedName name="__123Graph_D" localSheetId="53" hidden="1">#REF!</definedName>
    <definedName name="__123Graph_D" localSheetId="4" hidden="1">#REF!</definedName>
    <definedName name="__123Graph_D" localSheetId="5" hidden="1">#REF!</definedName>
    <definedName name="__123Graph_D" localSheetId="7" hidden="1">#REF!</definedName>
    <definedName name="__123Graph_D" localSheetId="8" hidden="1">#REF!</definedName>
    <definedName name="__123Graph_D" localSheetId="48" hidden="1">#REF!</definedName>
    <definedName name="__123Graph_D" localSheetId="54" hidden="1">#REF!</definedName>
    <definedName name="__123Graph_D" localSheetId="58" hidden="1">#REF!</definedName>
    <definedName name="__123Graph_D" hidden="1">#REF!</definedName>
    <definedName name="__123Graph_DCHART1" localSheetId="34" hidden="1">#REF!</definedName>
    <definedName name="__123Graph_DCHART1" localSheetId="53" hidden="1">#REF!</definedName>
    <definedName name="__123Graph_DCHART1" localSheetId="5" hidden="1">#REF!</definedName>
    <definedName name="__123Graph_DCHART1" hidden="1">#REF!</definedName>
    <definedName name="__123Graph_DCHART2" localSheetId="34" hidden="1">#REF!</definedName>
    <definedName name="__123Graph_DCHART2" localSheetId="53" hidden="1">#REF!</definedName>
    <definedName name="__123Graph_DCHART2" localSheetId="5" hidden="1">#REF!</definedName>
    <definedName name="__123Graph_DCHART2" hidden="1">#REF!</definedName>
    <definedName name="__123Graph_DCHART3" localSheetId="34" hidden="1">#REF!</definedName>
    <definedName name="__123Graph_DCHART3" localSheetId="53" hidden="1">#REF!</definedName>
    <definedName name="__123Graph_DCHART3" localSheetId="5" hidden="1">#REF!</definedName>
    <definedName name="__123Graph_DCHART3" hidden="1">#REF!</definedName>
    <definedName name="__123Graph_DCHART4" localSheetId="34" hidden="1">#REF!</definedName>
    <definedName name="__123Graph_DCHART4" localSheetId="53" hidden="1">#REF!</definedName>
    <definedName name="__123Graph_DCHART4" localSheetId="5" hidden="1">#REF!</definedName>
    <definedName name="__123Graph_DCHART4" hidden="1">#REF!</definedName>
    <definedName name="__123Graph_DCHART5" localSheetId="34" hidden="1">#REF!</definedName>
    <definedName name="__123Graph_DCHART5" localSheetId="53" hidden="1">#REF!</definedName>
    <definedName name="__123Graph_DCHART5" localSheetId="5" hidden="1">#REF!</definedName>
    <definedName name="__123Graph_DCHART5" hidden="1">#REF!</definedName>
    <definedName name="__123Graph_E" localSheetId="34" hidden="1">#REF!</definedName>
    <definedName name="__123Graph_E" localSheetId="38" hidden="1">#REF!</definedName>
    <definedName name="__123Graph_E" localSheetId="53" hidden="1">#REF!</definedName>
    <definedName name="__123Graph_E" localSheetId="4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48" hidden="1">#REF!</definedName>
    <definedName name="__123Graph_E" localSheetId="54" hidden="1">#REF!</definedName>
    <definedName name="__123Graph_E" localSheetId="58" hidden="1">#REF!</definedName>
    <definedName name="__123Graph_E" hidden="1">#REF!</definedName>
    <definedName name="__123Graph_F" hidden="1">#REF!</definedName>
    <definedName name="__123Graph_FCHART4" localSheetId="34" hidden="1">#REF!</definedName>
    <definedName name="__123Graph_FCHART4" localSheetId="53" hidden="1">#REF!</definedName>
    <definedName name="__123Graph_FCHART4" localSheetId="5" hidden="1">#REF!</definedName>
    <definedName name="__123Graph_FCHART4" hidden="1">#REF!</definedName>
    <definedName name="__123Graph_FCHART5" localSheetId="34" hidden="1">#REF!</definedName>
    <definedName name="__123Graph_FCHART5" localSheetId="53" hidden="1">#REF!</definedName>
    <definedName name="__123Graph_FCHART5" localSheetId="5" hidden="1">#REF!</definedName>
    <definedName name="__123Graph_FCHART5" hidden="1">#REF!</definedName>
    <definedName name="__123Graph_X" localSheetId="34" hidden="1">#REF!</definedName>
    <definedName name="__123Graph_X" localSheetId="38" hidden="1">#REF!</definedName>
    <definedName name="__123Graph_X" localSheetId="53" hidden="1">#REF!</definedName>
    <definedName name="__123Graph_X" localSheetId="4" hidden="1">#REF!</definedName>
    <definedName name="__123Graph_X" localSheetId="5" hidden="1">#REF!</definedName>
    <definedName name="__123Graph_X" localSheetId="7" hidden="1">#REF!</definedName>
    <definedName name="__123Graph_X" localSheetId="8" hidden="1">#REF!</definedName>
    <definedName name="__123Graph_X" localSheetId="48" hidden="1">#REF!</definedName>
    <definedName name="__123Graph_X" localSheetId="54" hidden="1">#REF!</definedName>
    <definedName name="__123Graph_X" localSheetId="58" hidden="1">#REF!</definedName>
    <definedName name="__123Graph_X" hidden="1">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FDS_HYPERLINK_TOGGLE_STATE__" hidden="1">"ON"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May2007" hidden="1">{"2002Frcst","05Month",FALSE,"Frcst Format 2002"}</definedName>
    <definedName name="_123Graph_CHART3" localSheetId="17" hidden="1">#REF!</definedName>
    <definedName name="_123Graph_CHART3" localSheetId="34" hidden="1">#REF!</definedName>
    <definedName name="_123Graph_CHART3" localSheetId="38" hidden="1">#REF!</definedName>
    <definedName name="_123Graph_CHART3" localSheetId="53" hidden="1">#REF!</definedName>
    <definedName name="_123Graph_CHART3" localSheetId="4" hidden="1">#REF!</definedName>
    <definedName name="_123Graph_CHART3" localSheetId="5" hidden="1">#REF!</definedName>
    <definedName name="_123Graph_CHART3" localSheetId="58" hidden="1">#REF!</definedName>
    <definedName name="_123Graph_CHART3" hidden="1">#REF!</definedName>
    <definedName name="_123Graph_E" localSheetId="17" hidden="1">#REF!</definedName>
    <definedName name="_123Graph_E" localSheetId="20" hidden="1">#REF!</definedName>
    <definedName name="_123Graph_E" localSheetId="34" hidden="1">#REF!</definedName>
    <definedName name="_123Graph_E" localSheetId="53" hidden="1">#REF!</definedName>
    <definedName name="_123Graph_E" localSheetId="4" hidden="1">#REF!</definedName>
    <definedName name="_123Graph_E" localSheetId="7" hidden="1">#REF!</definedName>
    <definedName name="_123Graph_E" localSheetId="8" hidden="1">#REF!</definedName>
    <definedName name="_123Graph_E" localSheetId="58" hidden="1">#REF!</definedName>
    <definedName name="_123Graph_E" hidden="1">#REF!</definedName>
    <definedName name="_AMO_SingleObject_157336487_ROM_F0.SEC2.Print_1.SEC1.SEC1.BDY.REV_MO_201601_Data_Set_WORK_BILLDET1" localSheetId="17" hidden="1">#REF!</definedName>
    <definedName name="_AMO_SingleObject_157336487_ROM_F0.SEC2.Print_1.SEC1.SEC1.BDY.REV_MO_201601_Data_Set_WORK_BILLDET1" localSheetId="34" hidden="1">#REF!</definedName>
    <definedName name="_AMO_SingleObject_157336487_ROM_F0.SEC2.Print_1.SEC1.SEC1.BDY.REV_MO_201601_Data_Set_WORK_BILLDET1" localSheetId="53" hidden="1">#REF!</definedName>
    <definedName name="_AMO_SingleObject_157336487_ROM_F0.SEC2.Print_1.SEC1.SEC1.BDY.REV_MO_201601_Data_Set_WORK_BILLDET1" localSheetId="4" hidden="1">#REF!</definedName>
    <definedName name="_AMO_SingleObject_157336487_ROM_F0.SEC2.Print_1.SEC1.SEC1.BDY.REV_MO_201601_Data_Set_WORK_BILLDET1" localSheetId="7" hidden="1">#REF!</definedName>
    <definedName name="_AMO_SingleObject_157336487_ROM_F0.SEC2.Print_1.SEC1.SEC1.BDY.REV_MO_201601_Data_Set_WORK_BILLDET1" localSheetId="8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17" hidden="1">#REF!</definedName>
    <definedName name="_AMO_SingleObject_157336487_ROM_F0.SEC2.Print_1.SEC1.SEC1.HDR.REV_MO_201601" localSheetId="34" hidden="1">#REF!</definedName>
    <definedName name="_AMO_SingleObject_157336487_ROM_F0.SEC2.Print_1.SEC1.SEC1.HDR.REV_MO_201601" localSheetId="53" hidden="1">#REF!</definedName>
    <definedName name="_AMO_SingleObject_157336487_ROM_F0.SEC2.Print_1.SEC1.SEC1.HDR.REV_MO_201601" localSheetId="4" hidden="1">#REF!</definedName>
    <definedName name="_AMO_SingleObject_157336487_ROM_F0.SEC2.Print_1.SEC1.SEC1.HDR.REV_MO_201601" localSheetId="7" hidden="1">#REF!</definedName>
    <definedName name="_AMO_SingleObject_157336487_ROM_F0.SEC2.Print_1.SEC1.SEC1.HDR.REV_MO_201601" localSheetId="8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17" hidden="1">#REF!</definedName>
    <definedName name="_AMO_SingleObject_157336487_ROM_F0.SEC2.Print_1.SEC1.SEC2.BDY.REV_MO_201602_Data_Set_WORK_BILLDET1" localSheetId="34" hidden="1">#REF!</definedName>
    <definedName name="_AMO_SingleObject_157336487_ROM_F0.SEC2.Print_1.SEC1.SEC2.BDY.REV_MO_201602_Data_Set_WORK_BILLDET1" localSheetId="53" hidden="1">#REF!</definedName>
    <definedName name="_AMO_SingleObject_157336487_ROM_F0.SEC2.Print_1.SEC1.SEC2.BDY.REV_MO_201602_Data_Set_WORK_BILLDET1" localSheetId="4" hidden="1">#REF!</definedName>
    <definedName name="_AMO_SingleObject_157336487_ROM_F0.SEC2.Print_1.SEC1.SEC2.BDY.REV_MO_201602_Data_Set_WORK_BILLDET1" localSheetId="7" hidden="1">#REF!</definedName>
    <definedName name="_AMO_SingleObject_157336487_ROM_F0.SEC2.Print_1.SEC1.SEC2.BDY.REV_MO_201602_Data_Set_WORK_BILLDET1" localSheetId="8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17" hidden="1">#REF!</definedName>
    <definedName name="_AMO_SingleObject_157336487_ROM_F0.SEC2.Print_1.SEC1.SEC2.HDR.REV_MO_201602" localSheetId="34" hidden="1">#REF!</definedName>
    <definedName name="_AMO_SingleObject_157336487_ROM_F0.SEC2.Print_1.SEC1.SEC2.HDR.REV_MO_201602" localSheetId="53" hidden="1">#REF!</definedName>
    <definedName name="_AMO_SingleObject_157336487_ROM_F0.SEC2.Print_1.SEC1.SEC2.HDR.REV_MO_201602" localSheetId="4" hidden="1">#REF!</definedName>
    <definedName name="_AMO_SingleObject_157336487_ROM_F0.SEC2.Print_1.SEC1.SEC2.HDR.REV_MO_201602" localSheetId="7" hidden="1">#REF!</definedName>
    <definedName name="_AMO_SingleObject_157336487_ROM_F0.SEC2.Print_1.SEC1.SEC2.HDR.REV_MO_201602" localSheetId="8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17" hidden="1">#REF!</definedName>
    <definedName name="_AMO_SingleObject_157336487_ROM_F0.SEC2.Print_1.SEC1.SEC3.BDY.REV_MO_201603_Data_Set_WORK_BILLDET1" localSheetId="34" hidden="1">#REF!</definedName>
    <definedName name="_AMO_SingleObject_157336487_ROM_F0.SEC2.Print_1.SEC1.SEC3.BDY.REV_MO_201603_Data_Set_WORK_BILLDET1" localSheetId="53" hidden="1">#REF!</definedName>
    <definedName name="_AMO_SingleObject_157336487_ROM_F0.SEC2.Print_1.SEC1.SEC3.BDY.REV_MO_201603_Data_Set_WORK_BILLDET1" localSheetId="4" hidden="1">#REF!</definedName>
    <definedName name="_AMO_SingleObject_157336487_ROM_F0.SEC2.Print_1.SEC1.SEC3.BDY.REV_MO_201603_Data_Set_WORK_BILLDET1" localSheetId="7" hidden="1">#REF!</definedName>
    <definedName name="_AMO_SingleObject_157336487_ROM_F0.SEC2.Print_1.SEC1.SEC3.BDY.REV_MO_201603_Data_Set_WORK_BILLDET1" localSheetId="8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17" hidden="1">#REF!</definedName>
    <definedName name="_AMO_SingleObject_157336487_ROM_F0.SEC2.Print_1.SEC1.SEC3.HDR.REV_MO_201603" localSheetId="34" hidden="1">#REF!</definedName>
    <definedName name="_AMO_SingleObject_157336487_ROM_F0.SEC2.Print_1.SEC1.SEC3.HDR.REV_MO_201603" localSheetId="53" hidden="1">#REF!</definedName>
    <definedName name="_AMO_SingleObject_157336487_ROM_F0.SEC2.Print_1.SEC1.SEC3.HDR.REV_MO_201603" localSheetId="4" hidden="1">#REF!</definedName>
    <definedName name="_AMO_SingleObject_157336487_ROM_F0.SEC2.Print_1.SEC1.SEC3.HDR.REV_MO_201603" localSheetId="7" hidden="1">#REF!</definedName>
    <definedName name="_AMO_SingleObject_157336487_ROM_F0.SEC2.Print_1.SEC1.SEC3.HDR.REV_MO_201603" localSheetId="8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17" hidden="1">#REF!</definedName>
    <definedName name="_AMO_SingleObject_157336487_ROM_F0.SEC2.Print_1.SEC1.SEC4.BDY.REV_MO_999999_Data_Set_WORK_BILLDET1" localSheetId="34" hidden="1">#REF!</definedName>
    <definedName name="_AMO_SingleObject_157336487_ROM_F0.SEC2.Print_1.SEC1.SEC4.BDY.REV_MO_999999_Data_Set_WORK_BILLDET1" localSheetId="53" hidden="1">#REF!</definedName>
    <definedName name="_AMO_SingleObject_157336487_ROM_F0.SEC2.Print_1.SEC1.SEC4.BDY.REV_MO_999999_Data_Set_WORK_BILLDET1" localSheetId="4" hidden="1">#REF!</definedName>
    <definedName name="_AMO_SingleObject_157336487_ROM_F0.SEC2.Print_1.SEC1.SEC4.BDY.REV_MO_999999_Data_Set_WORK_BILLDET1" localSheetId="7" hidden="1">#REF!</definedName>
    <definedName name="_AMO_SingleObject_157336487_ROM_F0.SEC2.Print_1.SEC1.SEC4.BDY.REV_MO_999999_Data_Set_WORK_BILLDET1" localSheetId="8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17" hidden="1">#REF!</definedName>
    <definedName name="_AMO_SingleObject_157336487_ROM_F0.SEC2.Print_1.SEC1.SEC4.HDR.REV_MO_999999" localSheetId="34" hidden="1">#REF!</definedName>
    <definedName name="_AMO_SingleObject_157336487_ROM_F0.SEC2.Print_1.SEC1.SEC4.HDR.REV_MO_999999" localSheetId="53" hidden="1">#REF!</definedName>
    <definedName name="_AMO_SingleObject_157336487_ROM_F0.SEC2.Print_1.SEC1.SEC4.HDR.REV_MO_999999" localSheetId="4" hidden="1">#REF!</definedName>
    <definedName name="_AMO_SingleObject_157336487_ROM_F0.SEC2.Print_1.SEC1.SEC4.HDR.REV_MO_999999" localSheetId="7" hidden="1">#REF!</definedName>
    <definedName name="_AMO_SingleObject_157336487_ROM_F0.SEC2.Print_1.SEC1.SEC4.HDR.REV_MO_999999" localSheetId="8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Fill" localSheetId="17" hidden="1">#REF!</definedName>
    <definedName name="_Fill" localSheetId="34" hidden="1">#REF!</definedName>
    <definedName name="_Fill" localSheetId="38" hidden="1">#REF!</definedName>
    <definedName name="_Fill" localSheetId="53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48" hidden="1">#REF!</definedName>
    <definedName name="_Fill" localSheetId="52" hidden="1">#REF!</definedName>
    <definedName name="_Fill" localSheetId="54" hidden="1">#REF!</definedName>
    <definedName name="_Fill" localSheetId="58" hidden="1">#REF!</definedName>
    <definedName name="_Fill" hidden="1">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Key1" localSheetId="34" hidden="1">#REF!</definedName>
    <definedName name="_Key1" localSheetId="38" hidden="1">#REF!</definedName>
    <definedName name="_Key1" localSheetId="53" hidden="1">#REF!</definedName>
    <definedName name="_Key1" localSheetId="4" hidden="1">#REF!</definedName>
    <definedName name="_Key1" localSheetId="5" hidden="1">#REF!</definedName>
    <definedName name="_Key1" localSheetId="43" hidden="1">#REF!</definedName>
    <definedName name="_Key1" localSheetId="48" hidden="1">#REF!</definedName>
    <definedName name="_Key1" localSheetId="52" hidden="1">#REF!</definedName>
    <definedName name="_Key1" localSheetId="54" hidden="1">#REF!</definedName>
    <definedName name="_Key1" localSheetId="58" hidden="1">#REF!</definedName>
    <definedName name="_Key1" hidden="1">#REF!</definedName>
    <definedName name="_Key2" localSheetId="34" hidden="1">#REF!</definedName>
    <definedName name="_Key2" localSheetId="38" hidden="1">#REF!</definedName>
    <definedName name="_Key2" localSheetId="53" hidden="1">#REF!</definedName>
    <definedName name="_Key2" localSheetId="4" hidden="1">#REF!</definedName>
    <definedName name="_Key2" localSheetId="5" hidden="1">#REF!</definedName>
    <definedName name="_Key2" localSheetId="43" hidden="1">#REF!</definedName>
    <definedName name="_Key2" localSheetId="48" hidden="1">#REF!</definedName>
    <definedName name="_Key2" localSheetId="52" hidden="1">#REF!</definedName>
    <definedName name="_Key2" localSheetId="54" hidden="1">#REF!</definedName>
    <definedName name="_Key2" localSheetId="58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ort" localSheetId="34" hidden="1">#REF!</definedName>
    <definedName name="_Sort" localSheetId="38" hidden="1">#REF!</definedName>
    <definedName name="_Sort" localSheetId="53" hidden="1">#REF!</definedName>
    <definedName name="_Sort" localSheetId="4" hidden="1">#REF!</definedName>
    <definedName name="_Sort" localSheetId="5" hidden="1">#REF!</definedName>
    <definedName name="_Sort" localSheetId="43" hidden="1">#REF!</definedName>
    <definedName name="_Sort" localSheetId="48" hidden="1">#REF!</definedName>
    <definedName name="_Sort" localSheetId="52" hidden="1">#REF!</definedName>
    <definedName name="_Sort" localSheetId="54" hidden="1">#REF!</definedName>
    <definedName name="_Sort" localSheetId="58" hidden="1">#REF!</definedName>
    <definedName name="_Sort" hidden="1">#REF!</definedName>
    <definedName name="_Table1_In1" hidden="1">#REF!</definedName>
    <definedName name="_Table1_Out" hidden="1">#REF!</definedName>
    <definedName name="_Table2_Out" hidden="1">#REF!</definedName>
    <definedName name="_w2" hidden="1">{"SourcesUses",#N/A,TRUE,"CFMODEL";"TransOverview",#N/A,TRUE,"CFMODEL"}</definedName>
    <definedName name="a" localSheetId="17" hidden="1">{#N/A,#N/A,TRUE,"SDGE";#N/A,#N/A,TRUE,"GBU";#N/A,#N/A,TRUE,"TBU";#N/A,#N/A,TRUE,"EDBU";#N/A,#N/A,TRUE,"ExclCC"}</definedName>
    <definedName name="a" localSheetId="20" hidden="1">{#N/A,#N/A,TRUE,"SDGE";#N/A,#N/A,TRUE,"GBU";#N/A,#N/A,TRUE,"TBU";#N/A,#N/A,TRUE,"EDBU";#N/A,#N/A,TRUE,"ExclCC"}</definedName>
    <definedName name="a" localSheetId="37" hidden="1">{#N/A,#N/A,TRUE,"SDGE";#N/A,#N/A,TRUE,"GBU";#N/A,#N/A,TRUE,"TBU";#N/A,#N/A,TRUE,"EDBU";#N/A,#N/A,TRUE,"ExclCC"}</definedName>
    <definedName name="a" localSheetId="38" hidden="1">{#N/A,#N/A,TRUE,"SDGE";#N/A,#N/A,TRUE,"GBU";#N/A,#N/A,TRUE,"TBU";#N/A,#N/A,TRUE,"EDBU";#N/A,#N/A,TRUE,"ExclCC"}</definedName>
    <definedName name="a" localSheetId="42" hidden="1">{#N/A,#N/A,TRUE,"SDGE";#N/A,#N/A,TRUE,"GBU";#N/A,#N/A,TRUE,"TBU";#N/A,#N/A,TRUE,"EDBU";#N/A,#N/A,TRUE,"ExclCC"}</definedName>
    <definedName name="a" localSheetId="53" hidden="1">{#N/A,#N/A,TRUE,"SDGE";#N/A,#N/A,TRUE,"GBU";#N/A,#N/A,TRUE,"TBU";#N/A,#N/A,TRUE,"EDBU";#N/A,#N/A,TRUE,"ExclCC"}</definedName>
    <definedName name="a" localSheetId="4" hidden="1">{#N/A,#N/A,TRUE,"SDGE";#N/A,#N/A,TRUE,"GBU";#N/A,#N/A,TRUE,"TBU";#N/A,#N/A,TRUE,"EDBU";#N/A,#N/A,TRUE,"ExclCC"}</definedName>
    <definedName name="a" localSheetId="58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aa" hidden="1">{"Income Statement",#N/A,FALSE,"CFMODEL";"Balance Sheet",#N/A,FALSE,"CFMODEL"}</definedName>
    <definedName name="aaaaa" hidden="1">{#N/A,#N/A,TRUE,"SDGE";#N/A,#N/A,TRUE,"GBU";#N/A,#N/A,TRUE,"TBU";#N/A,#N/A,TRUE,"EDBU";#N/A,#N/A,TRUE,"ExclCC"}</definedName>
    <definedName name="aaaaaaaaaaaaa" hidden="1">{"SourcesUses",#N/A,TRUE,"CFMODEL";"TransOverview",#N/A,TRUE,"CFMODEL"}</definedName>
    <definedName name="abc" hidden="1">"3Q12KMQDU0T4XKGIPPUR4OEMV"</definedName>
    <definedName name="ad" hidden="1">{"var_page",#N/A,FALSE,"template"}</definedName>
    <definedName name="adafdadf" hidden="1">{"Var_page",#N/A,FALSE,"template"}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G" localSheetId="17" hidden="1">#REF!</definedName>
    <definedName name="AG" localSheetId="20" hidden="1">#REF!</definedName>
    <definedName name="AG" localSheetId="34" hidden="1">#REF!</definedName>
    <definedName name="AG" localSheetId="38" hidden="1">#REF!</definedName>
    <definedName name="AG" localSheetId="53" hidden="1">#REF!</definedName>
    <definedName name="AG" localSheetId="4" hidden="1">#REF!</definedName>
    <definedName name="AG" localSheetId="5" hidden="1">#REF!</definedName>
    <definedName name="AG" localSheetId="58" hidden="1">#REF!</definedName>
    <definedName name="AG" hidden="1">#REF!</definedName>
    <definedName name="anscount" hidden="1">2</definedName>
    <definedName name="ARange24" hidden="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" localSheetId="17" hidden="1">{#N/A,#N/A,TRUE,"SDGE";#N/A,#N/A,TRUE,"GBU";#N/A,#N/A,TRUE,"TBU";#N/A,#N/A,TRUE,"EDBU";#N/A,#N/A,TRUE,"ExclCC"}</definedName>
    <definedName name="b" localSheetId="20" hidden="1">{#N/A,#N/A,TRUE,"SDGE";#N/A,#N/A,TRUE,"GBU";#N/A,#N/A,TRUE,"TBU";#N/A,#N/A,TRUE,"EDBU";#N/A,#N/A,TRUE,"ExclCC"}</definedName>
    <definedName name="b" localSheetId="37" hidden="1">{#N/A,#N/A,TRUE,"SDGE";#N/A,#N/A,TRUE,"GBU";#N/A,#N/A,TRUE,"TBU";#N/A,#N/A,TRUE,"EDBU";#N/A,#N/A,TRUE,"ExclCC"}</definedName>
    <definedName name="b" localSheetId="38" hidden="1">{#N/A,#N/A,TRUE,"SDGE";#N/A,#N/A,TRUE,"GBU";#N/A,#N/A,TRUE,"TBU";#N/A,#N/A,TRUE,"EDBU";#N/A,#N/A,TRUE,"ExclCC"}</definedName>
    <definedName name="b" localSheetId="42" hidden="1">{#N/A,#N/A,TRUE,"SDGE";#N/A,#N/A,TRUE,"GBU";#N/A,#N/A,TRUE,"TBU";#N/A,#N/A,TRUE,"EDBU";#N/A,#N/A,TRUE,"ExclCC"}</definedName>
    <definedName name="b" localSheetId="53" hidden="1">{#N/A,#N/A,TRUE,"SDGE";#N/A,#N/A,TRUE,"GBU";#N/A,#N/A,TRUE,"TBU";#N/A,#N/A,TRUE,"EDBU";#N/A,#N/A,TRUE,"ExclCC"}</definedName>
    <definedName name="b" localSheetId="4" hidden="1">{#N/A,#N/A,TRUE,"SDGE";#N/A,#N/A,TRUE,"GBU";#N/A,#N/A,TRUE,"TBU";#N/A,#N/A,TRUE,"EDBU";#N/A,#N/A,TRUE,"ExclCC"}</definedName>
    <definedName name="b" localSheetId="58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Ex00GHMXV67V1IG4T3LJKINJOCE" hidden="1">Addn #REF!</definedName>
    <definedName name="BEx00NZ7E5MCKBWJU6YPJ0CIZGM1" hidden="1">#REF!</definedName>
    <definedName name="BEx00RKU39JBM7SUSNPNGYECEJZV" hidden="1">Addn #REF!</definedName>
    <definedName name="BEx00VMF6OHXZLZWCWECCE3SHOY6" hidden="1">Functional #REF!</definedName>
    <definedName name="BEx018IE720H8Z2DTAJU85MF1MQT" hidden="1">Addn #REF!</definedName>
    <definedName name="BEx018NP0S5GEJKB3HT0W5HEFFUW" hidden="1">Functional #REF!</definedName>
    <definedName name="BEx01A5MM0X3EW0B595MY7WRLW01" hidden="1">Addn #REF!</definedName>
    <definedName name="BEx01D087DSHBK4MOGCV0J1A9O5C" hidden="1">SEU Func #REF!</definedName>
    <definedName name="BEx01F3QM3HEPCWWJJEX0L0RVWAN" hidden="1">#REF!</definedName>
    <definedName name="BEx01KCHKZJCF91ETSRPIFWQQAC1" hidden="1">Addn #REF!</definedName>
    <definedName name="BEx028MGCR0BV1OQZV038K5A4KR7" hidden="1">Addn #REF!</definedName>
    <definedName name="BEx02JEVS5Y9ANXL35AI60XC861X" hidden="1">Addn #REF!</definedName>
    <definedName name="BEx04128O1W72UO1QC7UCPNNZG9Z" hidden="1">Financial &amp; Non-#REF!</definedName>
    <definedName name="BEx1EQLVKGR0YQ630F75LKBMUD9Q" hidden="1">#REF!</definedName>
    <definedName name="BEx1FMDJGHELQUASX5HFL9J4RE3D" hidden="1">SEU Func #REF!</definedName>
    <definedName name="BEx1FN9XD8476NWAOIPFIQFAP91R" hidden="1">Addn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hidden="1">SEU Func Area by #REF!</definedName>
    <definedName name="BEx1GJSHRDLE9CKAZP6VYGNF8WAG" hidden="1">SEU Func Area by #REF!</definedName>
    <definedName name="BEx1GP6Q18Y44JCRA9DPKE7V7882" hidden="1">SEU Func #REF!</definedName>
    <definedName name="BEx1GV6HL426WS23WUK9S7XW7FX9" hidden="1">Addn #REF!</definedName>
    <definedName name="BEx1GY13FUWX193W8IDTUD617BUN" hidden="1">Functional #REF!</definedName>
    <definedName name="BEx1HQCNLA2KXL1D5E998O0G20TZ" hidden="1">SEU Driver #REF!</definedName>
    <definedName name="BEx1HT78JLDAMJRZ3P9PTYM0U8XS" hidden="1">SCG Func #REF!</definedName>
    <definedName name="BEx1ID9XWI0EXHZYLQIL8D0C0WH5" hidden="1">Addn #REF!</definedName>
    <definedName name="BEx1IK0TJV8J9XYO8DS8X7JYCB14" hidden="1">SEU Func #REF!</definedName>
    <definedName name="BEx1J0T1LZ9TBG36H8UB1M80V9AK" hidden="1">Functional #REF!</definedName>
    <definedName name="BEx1J4916QYSR8WPX1XHGOWA103Q" hidden="1">SEU Func Comm by #REF!</definedName>
    <definedName name="BEx1JF6S184IMMIL22WMI24WC7HD" hidden="1">Addn #REF!</definedName>
    <definedName name="BEx1JGDY5NT12UZS6711YPIP9E4I" hidden="1">#REF!</definedName>
    <definedName name="BEx1JPJ3GNL4JBOQ0VTJ2F27GORL" hidden="1">[0]!SDGE Func #REF!</definedName>
    <definedName name="BEx1L5DJE8K7R3Y5C1GBMPG80XDP" hidden="1">Addn #REF!</definedName>
    <definedName name="BEx1L7RW4E4AHIWD20SD8XXF8XY4" hidden="1">SEU Driver #REF!</definedName>
    <definedName name="BEx1LKYMFDZHFZ6EQ50UC0ZEGJGN" hidden="1">Addn #REF!</definedName>
    <definedName name="BEx1LSGD5W6G03IPF1V0A8O9XNWR" hidden="1">Functional #REF!</definedName>
    <definedName name="BEx1LVWJKI98V71VUT7OAJ5CAMKN" hidden="1">Addn #REF!</definedName>
    <definedName name="BEx1MHBUVWYO0XOUSCOV752SUYZE" hidden="1">Financial &amp; Non-#REF!</definedName>
    <definedName name="BEx1NAJS89E9Y0NV0RM3KUU5CB5R" hidden="1">Addn #REF!</definedName>
    <definedName name="BEx1NQKYIAPPIOD2SMZ7820ZNOSF" hidden="1">Addn #REF!</definedName>
    <definedName name="BEx1NVOE7GJ6WKW7I9CREZ2GP8TD" hidden="1">Addn #REF!</definedName>
    <definedName name="BEx1O54CDEKZNW8NQYXSU5O9H2LF" hidden="1">[0]!SDGE Func #REF!</definedName>
    <definedName name="BEx1OTUFQX114IUT3GN0TVYSYB5M" hidden="1">Addn #REF!</definedName>
    <definedName name="BEx1P3FODKMSYNP46H6VG2XDKGC7" hidden="1">Financial &amp; Non-#REF!</definedName>
    <definedName name="BEx1Q0EIX8A33V3LFNH493ILI0HX" hidden="1">Addn #REF!</definedName>
    <definedName name="BEx1Q0JTU5M0YHKGIG4H1DP3QQOY" hidden="1">SEU Func #REF!</definedName>
    <definedName name="BEx1R3TB96C84UAF24S3ITS3JH5R" hidden="1">SCG Func #REF!</definedName>
    <definedName name="BEx1R49EW58CQXI9JK7BKROC7KN1" hidden="1">Addn #REF!</definedName>
    <definedName name="BEx1RGJR2PVQ3D3SA5X6L9QPM7F4" hidden="1">Functional #REF!</definedName>
    <definedName name="BEx1RME8LVJIKMHRI4PHSH9V2CVY" hidden="1">Addn #REF!</definedName>
    <definedName name="BEx1ROXUWY4JF43R22YGQV8VS0G7" hidden="1">Addn #REF!</definedName>
    <definedName name="BEx1S29YABN753A629BX6PXBFA96" hidden="1">Addn #REF!</definedName>
    <definedName name="BEx1S5Q3TCX96WTELY74HA2ASVJT" hidden="1">#REF!</definedName>
    <definedName name="BEx1SDTFFOGLBUZL27LL4A0YI943" hidden="1">Addn #REF!</definedName>
    <definedName name="BEx1SIWTLD5J30EPTJW7XO561SJG" hidden="1">#REF!</definedName>
    <definedName name="BEx1SMCVHCJUCMC4FVFM78N6H72U" hidden="1">SEU Func #REF!</definedName>
    <definedName name="BEx1STULMAWD0NEAREILM64OPY00" hidden="1">Addn #REF!</definedName>
    <definedName name="BEx1SUWGDLGRUWXJTM1C7TJGIJR8" hidden="1">Addn #REF!</definedName>
    <definedName name="BEx1T3QNED4G45NO2INJRTKAD45T" hidden="1">Functional #REF!</definedName>
    <definedName name="BEx1T8U2JOKCUEEX4YLT03SKWQ6G" hidden="1">[0]!SDGE Func #REF!</definedName>
    <definedName name="BEx1TETUI9OXKL0Z7E9VQDC08FJG" hidden="1">Addn #REF!</definedName>
    <definedName name="BEx1UIJDWIKALV3EM8BJYPLENFMV" hidden="1">Addn #REF!</definedName>
    <definedName name="BEx1UWMHP3RS3MO76CVAU4P9KH2B" hidden="1">SEU Func Area by #REF!</definedName>
    <definedName name="BEx1V5M8GZ4M0D63HGWVN0QG25LG" hidden="1">SEU Driver by Func #REF!</definedName>
    <definedName name="BEx1VKLP2EMBATC7SZ4FLJRJ8VFI" hidden="1">SCG Func #REF!</definedName>
    <definedName name="BEx1VV8NGNLAOB6X4WL8PL46CSCB" hidden="1">Functional #REF!</definedName>
    <definedName name="BEx1WEPZTS8G9SY4FERGMHWFIYY3" hidden="1">SCG Func #REF!</definedName>
    <definedName name="BEx1X9AICW4MTOYHJ5TS4E03359S" hidden="1">SEU Func #REF!</definedName>
    <definedName name="BEx1XZ7QPNQFFG75UYWAOLXQJXWJ" hidden="1">SEU Driver by Func #REF!</definedName>
    <definedName name="BEx3AEHZW9LV0JGOI3140E9RU17M" hidden="1">Addn #REF!</definedName>
    <definedName name="BEx3BOSY29ELEJ90MCIEMAGOLTHV" hidden="1">SEU Func Area by #REF!</definedName>
    <definedName name="BEx3BY8WKSOC5XACCR5M2YP8BP70" hidden="1">#REF!</definedName>
    <definedName name="BEx3C0HPWFOJP9Q302IKBHWFV9DX" hidden="1">SEU Func #REF!</definedName>
    <definedName name="BEx3CT48SATJWIT8QHVS6DQ5P4LM" hidden="1">Financial &amp; Non-#REF!</definedName>
    <definedName name="BEx3CYT1ZL8MYON1H0NO1OCITU6Y" hidden="1">#REF!</definedName>
    <definedName name="BEx3D2K1ZM1P4KC7KYJ0X36ABUFH" hidden="1">SEU Func Comm by #REF!</definedName>
    <definedName name="BEx3D83Q0RX8NCO14VJZ6F7PPS9D" hidden="1">SEU Func #REF!</definedName>
    <definedName name="BEx3DKDXLAZ3571ELHUDJ1PNATW8" hidden="1">SEU Driver #REF!</definedName>
    <definedName name="BEx3DY6A6OPCMFSTO9WZP1NEBG24" hidden="1">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hidden="1">SEU Func Area by #REF!</definedName>
    <definedName name="BEx3EXJFOP6C1X0JLHB9Q8FAQTXP" hidden="1">#REF!</definedName>
    <definedName name="BEx3FID7JXDA6WTSV4AEOCFHW8I2" hidden="1">Addn #REF!</definedName>
    <definedName name="BEx3G7OW5MPIEEHI12V7QP9OZ8AH" hidden="1">#REF!</definedName>
    <definedName name="BEx3GFXO9P9TWVWKR9NW8N5RVFU7" hidden="1">SEU Driver #REF!</definedName>
    <definedName name="BEx3GXM8YOHYYQ8YL2U1M52A29Z0" hidden="1">Functional #REF!</definedName>
    <definedName name="BEx3HE3PCILPEW4KD2C00CJNRJZZ" hidden="1">SEU Driver #REF!</definedName>
    <definedName name="BEx3HSXOVI1E2FREWWS86O8R19E2" hidden="1">Financial &amp; Non-#REF!</definedName>
    <definedName name="BEx3IZN5224O9JUXPERTAGQ9BHZP" hidden="1">#REF!</definedName>
    <definedName name="BEx3JAA3E69G5K7ODRWCZN7HKKAB" hidden="1">Addn #REF!</definedName>
    <definedName name="BEx3K3Y9OPKSIZA0E1EEG4NT5B0T" hidden="1">Addn #REF!</definedName>
    <definedName name="BEx3K7UJ43OGQ20KNWYO03FVJ96T" hidden="1">Financial &amp; Non-#REF!</definedName>
    <definedName name="BEx3KH51243KR3TT5ZRP4W4KYX6S" hidden="1">SCG Func #REF!</definedName>
    <definedName name="BEx3LQ3AM8COFHOZW48MW1PCSMFB" hidden="1">Addn #REF!</definedName>
    <definedName name="BEx3LW39LX1DJIBZWULPI9CMSOC2" hidden="1">Addn #REF!</definedName>
    <definedName name="BEx3M7H9TQG9BSH3XCM8YAT6G6WJ" hidden="1">Financial &amp; Non-#REF!</definedName>
    <definedName name="BEx3M7XDIMHCSLM9Y2AT9NWLAOMY" hidden="1">Addn #REF!</definedName>
    <definedName name="BEx3MH2DKQSONMDJMVD4F2NKNM7G" hidden="1">Addn #REF!</definedName>
    <definedName name="BEx3MSGDXGW7OSHCKKQPMKKDR21A" hidden="1">Addn #REF!</definedName>
    <definedName name="BEx3N1G1UA6DMAIM7LIDXN7RKUUX" hidden="1">[0]!SDGE Func #REF!</definedName>
    <definedName name="BEx3N3EA4VJGB0V14C2HEGPXKP2I" hidden="1">Addn #REF!</definedName>
    <definedName name="BEx3NAFRIW5XWQA3OPN0Q24T0T42" hidden="1">Financial &amp; Non-#REF!</definedName>
    <definedName name="BEx3NEXKLPYH9X4KCYI7ESLC2GL4" hidden="1">Financial &amp; Non-#REF!</definedName>
    <definedName name="BEx3NFJ7AEGQPC1L8HQ9OPJ6HJVG" hidden="1">Addn #REF!</definedName>
    <definedName name="BEx3O5R5RBVLXHLE9AEKHF7TPET5" hidden="1">#REF!</definedName>
    <definedName name="BEx3O9Y9QHE201PEADOXXL01T8B9" hidden="1">SCG Func #REF!</definedName>
    <definedName name="BEx3OJ3EWCV3784K3YFC4RASIOGF" hidden="1">Functional #REF!</definedName>
    <definedName name="BEx3OXMM1O9DHZBX8KCTCAFXL35R" hidden="1">Addn #REF!</definedName>
    <definedName name="BEx3P4YVTSBLV0SJS5A82ANHBVG4" hidden="1">#REF!</definedName>
    <definedName name="BEx3P9GQUDWNPS9CL9O88YIYTG2B" hidden="1">[0]!SDGE Func #REF!</definedName>
    <definedName name="BEx3PUG0WDX3VMOW3YC9L7FA6795" hidden="1">#REF!</definedName>
    <definedName name="BEx3Q0FSCMFGDFRA18K779PC5SOU" hidden="1">SEU Driver #REF!</definedName>
    <definedName name="BEx3RK6IMVTK41YUUGFJYXS2R12V" hidden="1">Financial &amp; Non-#REF!</definedName>
    <definedName name="BEx3SF7B3E0AIY3RJREOCHFQ6ZOY" hidden="1">Functional #REF!</definedName>
    <definedName name="BEx3SOHSXK5I2AX8UQ1367PVN94C" hidden="1">#REF!</definedName>
    <definedName name="BEx3TD2DG6QMJ5IKJIUBGBZEPEPO" hidden="1">SEU Func Comm by #REF!</definedName>
    <definedName name="BEx3TLGJC8Q5WEWUNPCRP8YQCT4M" hidden="1">SEU Func Area by #REF!</definedName>
    <definedName name="BEx3TM242XQQHIQCIHLY63VDLGQ0" hidden="1">SEU Func #REF!</definedName>
    <definedName name="BEx3TPT1WV6YQ4RGA0ZEFJ7WEOQQ" hidden="1">Addn #REF!</definedName>
    <definedName name="BEx3UJ0Y0EKCX55B0WAD89K1I9A2" hidden="1">SEU Driver #REF!</definedName>
    <definedName name="BEx5793NUDQFE11HUM4WTJY9IFKN" hidden="1">Addn #REF!</definedName>
    <definedName name="BEx58N01LLZ8ZKB5V5P7UG5JZLSX" hidden="1">Addn #REF!</definedName>
    <definedName name="BEx59250F3FSWLBU1PX6J51NGMF2" hidden="1">Addn #REF!</definedName>
    <definedName name="BEx5931D0OK7253V4DKCZOJQ7CF6" hidden="1">Financial &amp; Non-#REF!</definedName>
    <definedName name="BEx59BA1716EYX5N0PFQ93LXY7R1" hidden="1">Addn #REF!</definedName>
    <definedName name="BEx59DOBKH8VQ98XK7SNHA8B047T" hidden="1">Addn #REF!</definedName>
    <definedName name="BEx59EQ7A4HVKPNS0I2HIPB8NOKJ" hidden="1">[0]!SDGE Func #REF!</definedName>
    <definedName name="BEx59JYWXN9L4GE0O40TJIRHE8P3" hidden="1">SEU Func #REF!</definedName>
    <definedName name="BEx59Y216NXUJ0GAPO3YO3VAVU7Y" hidden="1">Financial &amp; Non-#REF!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hidden="1">Addn #REF!</definedName>
    <definedName name="BEx5C9THJ886U0S3S65HH25DA6L5" hidden="1">Addn #REF!</definedName>
    <definedName name="BEx5CU1WA73BOAX4HZBTE4D3COW6" hidden="1">Addn #REF!</definedName>
    <definedName name="BEx5D9C4Z9LRXWV58SC94GBRMFS4" hidden="1">SEU Func #REF!</definedName>
    <definedName name="BEx5DQV9BM9CHGYMW87AFZOP9S9B" hidden="1">Addn #REF!</definedName>
    <definedName name="BEx5DXGLRIFRGETUGZDVNCCYOHKD" hidden="1">Financial &amp; Non-#REF!</definedName>
    <definedName name="BEx5DXWQFTJFHRMSE4FWPHTKLTIE" hidden="1">SEU Func #REF!</definedName>
    <definedName name="BEx5E7COVKY842P1212KOBRHK4DE" hidden="1">SEU Func #REF!</definedName>
    <definedName name="BEx5EB8XUYYLCXPJ8V9C1FHYJ0T8" hidden="1">[0]!SDGE Func #REF!</definedName>
    <definedName name="BEx5EDY0WYS351CC34O3AXLT11TX" hidden="1">SEU Func Area by #REF!</definedName>
    <definedName name="BEx5EN8J7513PCBQXOTXOOM8Y8MZ" hidden="1">Addn #REF!</definedName>
    <definedName name="BEx5EXQ67TILJNNHBN4C5BJGDT2H" hidden="1">#REF!</definedName>
    <definedName name="BEx5F7GQQLV72KNSTYT1DT4534TY" hidden="1">SEU Func #REF!</definedName>
    <definedName name="BEx5F9PR9BI8ZTQCHZVT9MSMKIGL" hidden="1">SEU Driver #REF!</definedName>
    <definedName name="BEx5F9V2SND4PHG740J2N3F13YXZ" hidden="1">Addn #REF!</definedName>
    <definedName name="BEx5FLJVHRG42QI195ANYO5RJEOE" hidden="1">Addn #REF!</definedName>
    <definedName name="BEx5G26LL7JG28WLELU77NB94D24" hidden="1">SCG Func #REF!</definedName>
    <definedName name="BEx5G3U1F5AV1D9DLRNKT33F8PWY" hidden="1">#REF!</definedName>
    <definedName name="BEx5G98A5G4DVMI1IHKJZL8ND4SW" hidden="1">SEU Func Area by #REF!</definedName>
    <definedName name="BEx5GI7TBQH1IAHOJZEVZ991ZJ52" hidden="1">Financial &amp; Non-#REF!</definedName>
    <definedName name="BEx5H0NECIJJL39PTFDGTA8QX80R" hidden="1">SEU Func #REF!</definedName>
    <definedName name="BEx5H3CIHK23F0WPY14ZVTSVWBAZ" hidden="1">Addn #REF!</definedName>
    <definedName name="BEx5H5W59HFH8HXCBHJBY5UPH7F4" hidden="1">SEU Func #REF!</definedName>
    <definedName name="BEx5HV2GH2NKG2ZMBKOBBJNFI428" hidden="1">Functional #REF!</definedName>
    <definedName name="BEx5HYINOA160CH9GI3QOUK508N2" hidden="1">[0]!SDGE Func #REF!</definedName>
    <definedName name="BEx5JAX4AOZH9O950U7GVQJFTIZ6" hidden="1">SEU Func #REF!</definedName>
    <definedName name="BEx5JUEFFFWCNP5ECB9KK9FN8XU6" hidden="1">Financial &amp; Non-#REF!</definedName>
    <definedName name="BEx5JXUFOJ8QL1O4OV01U73K97XN" hidden="1">Functional #REF!</definedName>
    <definedName name="BEx5K9DRXLRKAIGVBD5ZA5VX98K8" hidden="1">SEU Func #REF!</definedName>
    <definedName name="BEx5KBS25AF4Y2ZDIIANYJ4A7O9D" hidden="1">Addn #REF!</definedName>
    <definedName name="BEx5KBS2YIR4PFJ5IOP3TFWY2PPX" hidden="1">Functional #REF!</definedName>
    <definedName name="BEx5KCOEOJ2CEGE7RRL3BY5L9FNN" hidden="1">Financial &amp; Non-#REF!</definedName>
    <definedName name="BEx5KDKSPYR1TLV0X9KORPRO1TQF" hidden="1">SEU Driver by Func #REF!</definedName>
    <definedName name="BEx5KV9DMMK99WN0JMGJ25NAV4UE" hidden="1">SEU Driver #REF!</definedName>
    <definedName name="BEx5L2LUQAKQCZVHOCD9ZBZYYS4B" hidden="1">#REF!</definedName>
    <definedName name="BEx5LC73IA7G6DRD2JU2BP27482T" hidden="1">SEU Func #REF!</definedName>
    <definedName name="BEx5LG37VMLUGZYZ8Z96WYEWHYEH" hidden="1">Addn #REF!</definedName>
    <definedName name="BEx5LYTLLDSL43P8M6Q9VD7IRKT4" hidden="1">Addn #REF!</definedName>
    <definedName name="BEx5LZPZQ0Q3M0HD4JMAQUTI58KJ" hidden="1">Functional #REF!</definedName>
    <definedName name="BEx5MA26EHX7VNGSNNAZ0KZMX02D" hidden="1">SEU Func #REF!</definedName>
    <definedName name="BEx5MD7IFYQJG8DF8PBO3RALXN2V" hidden="1">Addn #REF!</definedName>
    <definedName name="BEx5MNUHM5YPFC1YNX13K7M2LD9F" hidden="1">SEU Driver #REF!</definedName>
    <definedName name="BEx5MW8LCJWSC3TFMS4W8AI5J8VG" hidden="1">SEU Func Comm by #REF!</definedName>
    <definedName name="BEx5NK2ADYL3ELV1XHFPFOV8W42D" hidden="1">[0]!SDGE Func #REF!</definedName>
    <definedName name="BEx5OAL3NTNMHU9ERQOWTX8NTMX9" hidden="1">#REF!</definedName>
    <definedName name="BEx5OF2X01GCRGDKH63EW0B09RRJ" hidden="1">Financial &amp; Non-#REF!</definedName>
    <definedName name="BEx5PS8FN2D4DOX6U1J943CZH0LU" hidden="1">Functional #REF!</definedName>
    <definedName name="BEx5QQEG5M04N5YQ20UR10EWJ6M3" hidden="1">Addn #REF!</definedName>
    <definedName name="BEx73WIB65EZVKX73XD21IFUO36J" hidden="1">Financial &amp; Non-#REF!</definedName>
    <definedName name="BEx746P6H9UJ8T9MTNG7C73YSGFU" hidden="1">Addn #REF!</definedName>
    <definedName name="BEx74GAFRM21NBATRNLD7FWS1OXY" hidden="1">Functional #REF!</definedName>
    <definedName name="BEx74VVIHGE8RWIOQN9SZZ487OOC" hidden="1">Functional #REF!</definedName>
    <definedName name="BEx74XDH3TPR8GXY3PNUOMP3VX2A" hidden="1">Addn #REF!</definedName>
    <definedName name="BEx7520NAQMR076UI9WUPELXOTH2" hidden="1">SCG Func #REF!</definedName>
    <definedName name="BEx75V36DE3VP1AMI1RXXUV87029" hidden="1">Addn #REF!</definedName>
    <definedName name="BEx75V8OC9Q4YQQOLAJT6UDQDZ2N" hidden="1">#REF!</definedName>
    <definedName name="BEx75X6R04A1CL2MWVAAB055B3P9" hidden="1">Functional #REF!</definedName>
    <definedName name="BEx75XXSXBCP9KU62O05Y9Z5ACWM" hidden="1">#REF!</definedName>
    <definedName name="BEx761DRPA25R4PZH61K2NGXMK2U" hidden="1">SEU Func Comm by #REF!</definedName>
    <definedName name="BEx768Q7WXW37TL98VE3X80MYAOT" hidden="1">[0]!SDGE Func #REF!</definedName>
    <definedName name="BEx769MLSTUCGG15G1X2OEJ4ZQH7" hidden="1">SEU Func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hidden="1">Financial &amp; Non-#REF!</definedName>
    <definedName name="BEx771Y54SZNEMLLKKVM69Q2UXPW" hidden="1">Addn #REF!</definedName>
    <definedName name="BEx77SRQQMO7ZX0ZJB9V7V67BBY8" hidden="1">#REF!</definedName>
    <definedName name="BEx787LVO91DZ12YLLQPAV8OMYJ8" hidden="1">Financial &amp; Non-#REF!</definedName>
    <definedName name="BEx78ESP6PYY9PRKG7N8I1062CBG" hidden="1">Financial &amp; Non-#REF!</definedName>
    <definedName name="BEx78JAKA3FRA112WDVJR5P2M06F" hidden="1">SEU Func Comm by #REF!</definedName>
    <definedName name="BEx79BGQJWM5HK7GBU4QCZQIGMJA" hidden="1">Addn #REF!</definedName>
    <definedName name="BEx79NLSWDY80RZ83IBSPPWC1LRP" hidden="1">Addn #REF!</definedName>
    <definedName name="BEx7AG85P2UCLBZH785AVALZ8NO2" hidden="1">Addn #REF!</definedName>
    <definedName name="BEx7BUKMRJIJ2T3VLPHVCGFYB91N" hidden="1">Addn #REF!</definedName>
    <definedName name="BEx7CD5LQHPU9ZD6Q6VGX42EG18N" hidden="1">#REF!</definedName>
    <definedName name="BEx7CSQONL7R3J1DFL1RBZ2UB4CJ" hidden="1">Addn #REF!</definedName>
    <definedName name="BEx7D9DFIZJHQGFY7GA9YYUA9ND5" hidden="1">Financial &amp; Non-#REF!</definedName>
    <definedName name="BEx7DB642H67MNJ2PZ1ACGYUMYX0" hidden="1">#REF!</definedName>
    <definedName name="BEx7DWG6RQW0D28OD9I5XKJYFDLX" hidden="1">SEU Func #REF!</definedName>
    <definedName name="BEx7E3SN5T57Z84MWEWGPL56BVYQ" hidden="1">Functional #REF!</definedName>
    <definedName name="BEx7E8QL4MLEWB3YUM4BI27WYSG4" hidden="1">Addn #REF!</definedName>
    <definedName name="BEx7F1YHNQP67YWOA22R2460OG8Q" hidden="1">#REF!</definedName>
    <definedName name="BEx7FGHPIVIRMUKXHH1IIO8C39WM" hidden="1">SCG Func #REF!</definedName>
    <definedName name="BEx7FK3D2PKAX7A5OS0M3EPATLK3" hidden="1">Addn #REF!</definedName>
    <definedName name="BEx7FX4LXTGXH0S5WO63H5V8973A" hidden="1">Addn #REF!</definedName>
    <definedName name="BEx7G09THIAHGVV4C6W739GLIL6F" hidden="1">SEU Driver #REF!</definedName>
    <definedName name="BEx7G1X3E168X1WSXE3IYQD39CSH" hidden="1">Functional #REF!</definedName>
    <definedName name="BEx7G5D8R3DAHH327NHVIRW1M1A6" hidden="1">SEU Driver by Func #REF!</definedName>
    <definedName name="BEx7GC43Z3IT632VJ04YICAVP2PC" hidden="1">Functional #REF!</definedName>
    <definedName name="BEx7GD5SMD4HYABHIF7TA7NL06BF" hidden="1">Addn #REF!</definedName>
    <definedName name="BEx7GNNEKMZ2TVCGR1CBK6H4CY70" hidden="1">SEU Driver by Func #REF!</definedName>
    <definedName name="BEx7GWSFCD13I3QC1N2NFFKY062P" hidden="1">Functional #REF!</definedName>
    <definedName name="BEx7H5XL7MLM8ZG6E12EKRMNYRXA" hidden="1">Addn #REF!</definedName>
    <definedName name="BEx7H86FAD3PJYLGZL1U0HWZBU77" hidden="1">SEU Driver #REF!</definedName>
    <definedName name="BEx7HNGQN8KJWL6B1O2RWR1I8XCR" hidden="1">Functional #REF!</definedName>
    <definedName name="BEx7I7ZOS5D5E9WZ6L4BOE2F3DY2" hidden="1">SEU Func #REF!</definedName>
    <definedName name="BEx7IA8PT7MFJWXGVCJFRY106ATL" hidden="1">SEU Func #REF!</definedName>
    <definedName name="BEx7IQKN2RWFXIJJQC1M3HN91456" hidden="1">SEU Driver by Func #REF!</definedName>
    <definedName name="BEx7IYTADRCEGWHWTPP3TX68M7RE" hidden="1">Addn #REF!</definedName>
    <definedName name="BEx7IYTI2BVB47X6UKCDS3S6S8M2" hidden="1">Financial &amp; Non-#REF!</definedName>
    <definedName name="BEx7JA7HO64PE6BSEFDQAYG2DV2M" hidden="1">SEU Driver #REF!</definedName>
    <definedName name="BEx7JN8QP1FGPG1PXW02J1OO9FTN" hidden="1">SCG Func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hidden="1">Addn #REF!</definedName>
    <definedName name="BEx7KYQUG9K5VGBRVMEF5XXB6I7D" hidden="1">Addn #REF!</definedName>
    <definedName name="BEx7LBHATV73G9G8EYC25A1GZPM7" hidden="1">Financial &amp; Non-#REF!</definedName>
    <definedName name="BEx7MCN6WJYIADN53L1N60G4M3U9" hidden="1">#REF!</definedName>
    <definedName name="BEx7NJ7BROENWNOB9DYNAZDMO381" hidden="1">Functional #REF!</definedName>
    <definedName name="BEx8ZNEEKMIGOZI4AEQOFKR48OX7" hidden="1">Addn #REF!</definedName>
    <definedName name="BEx906FH0CTZE3CU0DQWH3H4ZC4P" hidden="1">SEU Func #REF!</definedName>
    <definedName name="BEx9193BXQJVD64QF1Y7916CR3VZ" hidden="1">SEU Driver by Func #REF!</definedName>
    <definedName name="BEx91IOLAF9Q374K05VA9813T42J" hidden="1">Functional #REF!</definedName>
    <definedName name="BEx91MVNJP7UR6PVBG9O9JNNLL2S" hidden="1">Addn #REF!</definedName>
    <definedName name="BEx91NS16U93E9MPG050VOPE1B5V" hidden="1">Addn #REF!</definedName>
    <definedName name="BEx91WRP8CJ9NVHOVO3KK1CSEY3A" hidden="1">#REF!</definedName>
    <definedName name="BEx92JP6NFWRWOQOM9LV0ZGH6UII" hidden="1">[0]!SDGE Func #REF!</definedName>
    <definedName name="BEx92LY2W9T7IMRAJ6GVSJOYGXKX" hidden="1">Addn #REF!</definedName>
    <definedName name="BEx92VU31VCK7JA4H3D7UN9TXSLT" hidden="1">SEU Driver by Func #REF!</definedName>
    <definedName name="BEx937O89Y1D1SATU4ZSG51U1NQG" hidden="1">#REF!</definedName>
    <definedName name="BEx939RQZR5P0TIF9I3BMR6SR6Z8" hidden="1">Addn #REF!</definedName>
    <definedName name="BEx93C61JLMSUFCCC969HXVOAV5U" hidden="1">Addn #REF!</definedName>
    <definedName name="BEx93P7HZ849NJYP2FN3FVKLD1ZJ" hidden="1">#REF!</definedName>
    <definedName name="BEx93WUJ8SBBPMQO3GR8OPSWFZA4" hidden="1">Functional #REF!</definedName>
    <definedName name="BEx94SBGT6E7UM98ZRUU1UD0X2V9" hidden="1">SCG Func #REF!</definedName>
    <definedName name="BEx94YRCDNZCTCP3C1U048E2SHCV" hidden="1">#REF!</definedName>
    <definedName name="BEx95E6X1N492AUIEIQ1IXXTNYO0" hidden="1">SEU Func #REF!</definedName>
    <definedName name="BEx95GW2VHSR2AQCIZELG33FDA8H" hidden="1">Addn #REF!</definedName>
    <definedName name="BEx95JVY865JGQH3BGYILSOT7KIT" hidden="1">SEU Driver #REF!</definedName>
    <definedName name="BEx95RTS6PHEQTQLZVX7ZLJEZ2EC" hidden="1">SEU Func #REF!</definedName>
    <definedName name="BEx96FYFAVILQ8VYSE72BM2KXQHS" hidden="1">Functional #REF!</definedName>
    <definedName name="BEx96KLL02U9UGG9BE084W1T06AP" hidden="1">Functional #REF!</definedName>
    <definedName name="BEx96PED6KVTVBCA3YI15OONN1VC" hidden="1">Functional #REF!</definedName>
    <definedName name="BEx970MWXAD0OKZXP8P821WJ2SQ5" hidden="1">Addn #REF!</definedName>
    <definedName name="BEx971U2C4AAQ6GJB4FOAMCR7NZB" hidden="1">Financial &amp; Non-#REF!</definedName>
    <definedName name="BEx980WB7NBY9MBNN1VDHUAOOEN4" hidden="1">#REF!</definedName>
    <definedName name="BEx98DC7540CFIHHCBRDYER6N969" hidden="1">SEU Driver by Func #REF!</definedName>
    <definedName name="BEx98E3186U1CAC5ZCGORYSPBW55" hidden="1">SCG Func #REF!</definedName>
    <definedName name="BEx98P6A568OSQJKJ16MGMHFWQAJ" hidden="1">Addn #REF!</definedName>
    <definedName name="BEx98UPYWSKR968JQDKEOQJTFEN3" hidden="1">Addn #REF!</definedName>
    <definedName name="BEx99WS3MA5AE74HPBKZM9EI6J2H" hidden="1">Functional #REF!</definedName>
    <definedName name="BEx9A3TPSYIC5VV8BM8QF9YA6HKL" hidden="1">Addn #REF!</definedName>
    <definedName name="BEx9AB0O7AFRBN0DS6X3G5XATV0F" hidden="1">Addn #REF!</definedName>
    <definedName name="BEx9BKKJ3V7FT0YYP901CO1J9PK2" hidden="1">Addn #REF!</definedName>
    <definedName name="BEx9BNKFPZNHOBUFKJXSEZ45UCNX" hidden="1">Addn #REF!</definedName>
    <definedName name="BEx9BO0OF08DI95D48HIA4FNEAQ2" hidden="1">SCG Func #REF!</definedName>
    <definedName name="BEx9BYSZKJE7X0DZO9IBYA390EXN" hidden="1">Addn #REF!</definedName>
    <definedName name="BEx9C3WJQMGW0R7CUVA07P3TX1SN" hidden="1">SEU Func Comm by #REF!</definedName>
    <definedName name="BEx9CMHBVIKQKWB05U715K3OYE5N" hidden="1">Addn #REF!</definedName>
    <definedName name="BEx9CPBY3A014VDO5NC8CZH6A1ND" hidden="1">SEU Func #REF!</definedName>
    <definedName name="BEx9D4RIB90NHVB2YZNHPU1W05Q4" hidden="1">Addn #REF!</definedName>
    <definedName name="BEx9D5D3ORZ8H4FK3XMG4BUSRDF3" hidden="1">SEU Func #REF!</definedName>
    <definedName name="BEx9DCUTUL3BE617O4SMJRVU2L0S" hidden="1">Functional #REF!</definedName>
    <definedName name="BEx9DI91MBI8Y7KKG4TYD7GK0OO3" hidden="1">Addn #REF!</definedName>
    <definedName name="BEx9DPQSEJ56DZCPF3OY3GWEMEHS" hidden="1">[0]!SDGE Func #REF!</definedName>
    <definedName name="BEx9E8H2OWZQ45XRM27VACOL31OU" hidden="1">Addn #REF!</definedName>
    <definedName name="BEx9EBX1BZ0PL195G5AESVWY096V" hidden="1">SEU Func Area by #REF!</definedName>
    <definedName name="BEx9EFTH7ZBJ5N1CAQI38H8WNFW3" hidden="1">Addn #REF!</definedName>
    <definedName name="BEx9EK5VLPKF9XVYLA8L5M0VFA4J" hidden="1">Addn #REF!</definedName>
    <definedName name="BEx9ERI925K9PH2Z2PB4I9EX8QF3" hidden="1">#REF!</definedName>
    <definedName name="BEx9ET5JSJVBRWYIE1INNJ7SGTCC" hidden="1">Functional #REF!</definedName>
    <definedName name="BEx9EWG8HOBAXEVNI9PTPOTVPJ6O" hidden="1">Addn #REF!</definedName>
    <definedName name="BEx9F2FZK97W302TB1PE6SLT2W8P" hidden="1">SEU Driver by Func #REF!</definedName>
    <definedName name="BEx9F3N6P6EMZ3CI82RIVDKI8UYJ" hidden="1">Addn #REF!</definedName>
    <definedName name="BEx9F5QQ16E2AYXJFWMSOB65PQQD" hidden="1">#REF!</definedName>
    <definedName name="BEx9FEA49CAL0U75VSCJZGNERORM" hidden="1">SEU Func #REF!</definedName>
    <definedName name="BEx9FEA5G88VPTUBP7INZOU42U47" hidden="1">Addn #REF!</definedName>
    <definedName name="BEx9FZ3XLP4NW4ALG6YLL87UDWN5" hidden="1">#REF!</definedName>
    <definedName name="BEx9GA1T1D6OO1LJLL4M23ZQ4YZQ" hidden="1">Addn #REF!</definedName>
    <definedName name="BEx9GBEC3P5Y01WYIGKVJSG7XI43" hidden="1">[0]!SDGE Func #REF!</definedName>
    <definedName name="BEx9GKJHEHAXU8NPOK41VWZLKJHS" hidden="1">Addn #REF!</definedName>
    <definedName name="BEx9H7GTDG0K270VC8KIQPAZ4Y1Y" hidden="1">Functional #REF!</definedName>
    <definedName name="BEx9H9F15H3PH7ZYTKUA946W25IF" hidden="1">Addn #REF!</definedName>
    <definedName name="BEx9HMLS4KZDOM68X06UUH8EVM99" hidden="1">SEU Func #REF!</definedName>
    <definedName name="BEx9I0JFAIJY2OQ5GGLQIBX2SOHB" hidden="1">Addn #REF!</definedName>
    <definedName name="BEx9IIDAOIWYAR4176TWG0DUP0GC" hidden="1">Addn #REF!</definedName>
    <definedName name="BEx9IM9JB41V6TQ5P1QZV0H9VVUQ" hidden="1">Addn #REF!</definedName>
    <definedName name="BEx9IO2AQXVT9EE1WFNZY4RMZA5L" hidden="1">SEU Driver by Func #REF!</definedName>
    <definedName name="BEx9IW5MPMXZH6A45GHP65AIU5EC" hidden="1">SEU Func #REF!</definedName>
    <definedName name="BEx9JE4Z63EP3IGA8SSLS32MQ9IT" hidden="1">Functional #REF!</definedName>
    <definedName name="BEx9JGJB4AO5A49KA8HTRU4Y918P" hidden="1">Addn #REF!</definedName>
    <definedName name="BExAW9LX762OLWCG971X5UJG9BTI" hidden="1">SEU Driver #REF!</definedName>
    <definedName name="BExAWRW398WOEUXSG9OKLKRUHBUJ" hidden="1">SCG Func #REF!</definedName>
    <definedName name="BExAWWOQP0AIVB5SQ8ABBSZ73REK" hidden="1">Functional #REF!</definedName>
    <definedName name="BExAX3FFIBEYOD1VMORTDGV6CT6V" hidden="1">Addn #REF!</definedName>
    <definedName name="BExAX8Z4B7UP4MPIDL4N5UVE5X3A" hidden="1">Financial &amp; Non-#REF!</definedName>
    <definedName name="BExAXXJTKDDLRRG0YNJZ27IIY0CH" hidden="1">Addn #REF!</definedName>
    <definedName name="BExAY1W8CE9P3MQIAPX8VJEG5NVW" hidden="1">#REF!</definedName>
    <definedName name="BExAYAFTOFMR1YIYU7IUFOYRNV62" hidden="1">Addn #REF!</definedName>
    <definedName name="BExAYMVHP7W93W3JTZL9H6BYQM61" hidden="1">Addn #REF!</definedName>
    <definedName name="BExAYPVEB4OPFNAISBTOWTRBP8VX" hidden="1">[0]!SDGE Func #REF!</definedName>
    <definedName name="BExB03RSQON10JAWO2328LAW1MKE" hidden="1">SEU Func #REF!</definedName>
    <definedName name="BExB072HB427FBTZFTA92PWX0YQ9" hidden="1">Addn #REF!</definedName>
    <definedName name="BExB0CRHCO9ULDDSTT7DMTT05RT9" hidden="1">Addn #REF!</definedName>
    <definedName name="BExB0GIADY00FT7NXSNF175LJJ3Y" hidden="1">Addn #REF!</definedName>
    <definedName name="BExB0LGCWVXLFI71FVWXDKJA49PH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hidden="1">Addn #REF!</definedName>
    <definedName name="BExB1GRT8047FU91FKXXPPVBWVY4" hidden="1">SEU Func Area by #REF!</definedName>
    <definedName name="BExB1LKGYUXV7YND54V03Z7PCFWG" hidden="1">SEU Func Comm by #REF!</definedName>
    <definedName name="BExB1VB0MPHLR3SDA5NV6NV1X49C" hidden="1">SEU Driver #REF!</definedName>
    <definedName name="BExB2AQT03UGIOC6S1HS02YS0OIN" hidden="1">SCG Func #REF!</definedName>
    <definedName name="BExB2K6JX9SZWRWTCTUMT8KMDHOD" hidden="1">SEU Func Comm by #REF!</definedName>
    <definedName name="BExB30O0S6EO45SFV1QSN1Q24LOL" hidden="1">#REF!</definedName>
    <definedName name="BExB30TB59C8G4EC0WEJUHQ4VA39" hidden="1">Addn #REF!</definedName>
    <definedName name="BExB3EWF1OUNCEWXWPL6HTD45R2Q" hidden="1">Financial &amp; Non-#REF!</definedName>
    <definedName name="BExB3QL8Q7ZK705KJACMI750B1JO" hidden="1">Addn #REF!</definedName>
    <definedName name="BExB3XS637O5LMK5N78CTI3Z0Z5B" hidden="1">#REF!</definedName>
    <definedName name="BExB43MOHQGG9F0TAVNR9GV4HDUC" hidden="1">Addn #REF!</definedName>
    <definedName name="BExB49GYU15TD74UV4AOHN1UDRXT" hidden="1">SEU Func Area by #REF!</definedName>
    <definedName name="BExB5C4TYO1CLQBIZ1ZKBB9LUBUJ" hidden="1">Functional #REF!</definedName>
    <definedName name="BExB5DS47CSMB5M7U57GGRRL6RAI" hidden="1">Addn #REF!</definedName>
    <definedName name="BExB5GRZ48PZ0X03WTTZUHM5V6N7" hidden="1">[0]!SDGE Func #REF!</definedName>
    <definedName name="BExB5HOC7YR7B7UZUQJFO3AMX3Z7" hidden="1">Addn #REF!</definedName>
    <definedName name="BExB7JUQKW1TSF1EMURW4N49BPW8" hidden="1">SEU Func #REF!</definedName>
    <definedName name="BExB7XSCGB3ICZZXK5GGNRCZGO1R" hidden="1">Functional #REF!</definedName>
    <definedName name="BExB82KZZ20HGQ8ZWDI6NN7B7LP3" hidden="1">Addn #REF!</definedName>
    <definedName name="BExB842YTBKTN3J0DAZ8G2FRLGZA" hidden="1">SCG Func #REF!</definedName>
    <definedName name="BExB8A2R5KAW4ZHD9RTJG7XQBC9Z" hidden="1">SEU Driver by Func #REF!</definedName>
    <definedName name="BExB9DSAVBYJB0UFO37L4UPOIA9D" hidden="1">Addn #REF!</definedName>
    <definedName name="BExB9J6IXISS1DDVV1O9QAR83KUM" hidden="1">Addn #REF!</definedName>
    <definedName name="BExBA09J0XCIK4F6DIN33HWB83VZ" hidden="1">Addn 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hidden="1">SEU Func Area by #REF!</definedName>
    <definedName name="BExBCC14R9T8Y5BCJ9J6RZ5LAR34" hidden="1">#REF!</definedName>
    <definedName name="BExBCQ49E5ROUT89A7DNPSC88TP2" hidden="1">SEU Func #REF!</definedName>
    <definedName name="BExBCRGQSBNA9SIIV33OWZ9TT8EM" hidden="1">Financial &amp; Non-#REF!</definedName>
    <definedName name="BExBCS2AHW4TXTQK83WN29LWIRQK" hidden="1">[0]!SDGE Func #REF!</definedName>
    <definedName name="BExBD7NBV33LLYYJZDPWE3JS4YO8" hidden="1">Addn #REF!</definedName>
    <definedName name="BExBDGHLEQZH9D2HRC94XCSM8R21" hidden="1">Functional #REF!</definedName>
    <definedName name="BExCREBL0YXLWZKVEV40GLP86ISW" hidden="1">Addn #REF!</definedName>
    <definedName name="BExCSEL4O1O7A8QTADPQK997R2GC" hidden="1">[0]!SDGE Func #REF!</definedName>
    <definedName name="BExCSQKPT6AAP0PXNSIN8X33MNOQ" hidden="1">Addn #REF!</definedName>
    <definedName name="BExCSWV9HBGHLCFOMS18O18TUB3A" hidden="1">Addn #REF!</definedName>
    <definedName name="BExCTP6SO68GK895SG97OHJ44KJ9" hidden="1">Addn #REF!</definedName>
    <definedName name="BExCUFV4VP0SIARZ6VFX4CSM3H9D" hidden="1">Functional #REF!</definedName>
    <definedName name="BExCUH2AJHJRFFT62RFBIXW1D2QI" hidden="1">Functional #REF!</definedName>
    <definedName name="BExCUNSYJS0MXZ5ET8GHRGF8KIY2" hidden="1">Functional #REF!</definedName>
    <definedName name="BExCUSWD0ZI62K3UGX4N1XN89Q1P" hidden="1">SEU Driver #REF!</definedName>
    <definedName name="BExCV03BCBUW893TW8JSQSFA881E" hidden="1">Functional #REF!</definedName>
    <definedName name="BExCVFTQ4HN27K1U27PC99JFSWWW" hidden="1">Functional #REF!</definedName>
    <definedName name="BExCWLHH3Q3G7ILX126X41OC9UWW" hidden="1">Functional #REF!</definedName>
    <definedName name="BExCX29OCTHXR81FOAIARU0P0X4X" hidden="1">[0]!SDGE Func #REF!</definedName>
    <definedName name="BExCXCLUKV8FFGMN02TB06QN6BWG" hidden="1">SEU Func #REF!</definedName>
    <definedName name="BExCXYC68R84SJWKHLGHSF3BTT7G" hidden="1">SEU Driver by Func #REF!</definedName>
    <definedName name="BExCY712YSE6GCWJ0AMT3HALNA4X" hidden="1">Functional #REF!</definedName>
    <definedName name="BExCYQCYE5YHOB1TKOHL6B3I27IT" hidden="1">Financial &amp; Non-#REF!</definedName>
    <definedName name="BExCYRPFE15L8X3EUVCJNH6I01D9" hidden="1">SEU Driver by Func #REF!</definedName>
    <definedName name="BExCYY5GHFAIPGDZ8HNTGSWV4KQL" hidden="1">SCG Func #REF!</definedName>
    <definedName name="BExCZ5SJSLJTD4LETK6S52CEE8K5" hidden="1">SEU Driver by Func #REF!</definedName>
    <definedName name="BExCZODGQ5EQME30RIBVIMU88981" hidden="1">Financial &amp; Non-#REF!</definedName>
    <definedName name="BExD049C027P55BCRTWO9K40MDXC" hidden="1">Financial &amp; Non-#REF!</definedName>
    <definedName name="BExD04PEPBEQQX4RZ6C0WVALBV9W" hidden="1">SEU Driver #REF!</definedName>
    <definedName name="BExD0P35ITFSLDJ85I2S2XLI9D02" hidden="1">Addn #REF!</definedName>
    <definedName name="BExD1Z8Q7A8QEJBB3NBLBKV5UWDA" hidden="1">#REF!</definedName>
    <definedName name="BExD2054KGE1BMQV3F8E1TCXKD7K" hidden="1">Financial &amp; Non-#REF!</definedName>
    <definedName name="BExD24MZ6RCOIW4QM8EBYWBZ3FGX" hidden="1">Addn #REF!</definedName>
    <definedName name="BExD2PGRAQFQR76TR4M84GCI9TOX" hidden="1">SEU Func Comm by #REF!</definedName>
    <definedName name="BExD345FLWTNWLN5919CGC69OXJS" hidden="1">Addn #REF!</definedName>
    <definedName name="BExD37LGJYVJFID61F08P9GB1FNV" hidden="1">SEU Func #REF!</definedName>
    <definedName name="BExD3FOR9N7H6TPIKASJH6RB78Y8" hidden="1">SEU Driver #REF!</definedName>
    <definedName name="BExD3SVHOP1C3T2Z7DH6IBE3P843" hidden="1">SEU Func #REF!</definedName>
    <definedName name="BExD4UXT6QYCDEFJ4TR5HLDLP5GS" hidden="1">#REF!</definedName>
    <definedName name="BExD50179NSGUGLLUHX045A1AR1I" hidden="1">SEU Func #REF!</definedName>
    <definedName name="BExD5WUM2VOHW0PHHK7UU3C5G4KA" hidden="1">Addn #REF!</definedName>
    <definedName name="BExD6L9V8D6IAI4B3RW8L9XB4E9U" hidden="1">Addn #REF!</definedName>
    <definedName name="BExD6SM96QF45B1K8P5SYGG16HU7" hidden="1">Functional #REF!</definedName>
    <definedName name="BExD7ECGTP7A754YQVMXGZ6ODVJW" hidden="1">Addn #REF!</definedName>
    <definedName name="BExD7MFRXGJ499ABP7FXYAGDBVBF" hidden="1">SEU Func Area by #REF!</definedName>
    <definedName name="BExD86TI39WBFO32YV2U8JXO98P4" hidden="1">SEU Func #REF!</definedName>
    <definedName name="BExD948GWQCYXUUZQK0PIOEBV29S" hidden="1">Financial &amp; Non-#REF!</definedName>
    <definedName name="BExDC683UDAXPU8TJ720TDYW01P3" hidden="1">Addn #REF!</definedName>
    <definedName name="BExDCS3PZTHRO9F13N38ECDVNS32" hidden="1">SCG Func #REF!</definedName>
    <definedName name="BExEPN4D9U6D31SRSQ8GHI9K0EBT" hidden="1">Addn #REF!</definedName>
    <definedName name="BExEQ4I6HD9H5DM4DMM6GQ1EMDPK" hidden="1">SEU Func Comm by #REF!</definedName>
    <definedName name="BExEQPS9BRC55JZ9I5FYCQTKSEJN" hidden="1">SEU Func Area by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hidden="1">Addn #REF!</definedName>
    <definedName name="BExES2HHMG8HMKDE7EJU3AC0I6BR" hidden="1">Financial &amp; Non-#REF!</definedName>
    <definedName name="BExES6U1HSYY1KIDIHTNW3J42ZHS" hidden="1">Financial &amp; Non-#REF!</definedName>
    <definedName name="BExESH0UL4KHBDSX39ZAEWSMHVQY" hidden="1">Addn #REF!</definedName>
    <definedName name="BExESMV5WEZAC2GDCQ810LXIR0DY" hidden="1">SCG Func #REF!</definedName>
    <definedName name="BExETF6PXKIF0BXNH3KRJ554Y0P6" hidden="1">SEU Func Area by #REF!</definedName>
    <definedName name="BExETT4JKBXWE85124PM89EQ4DRI" hidden="1">[0]!SDGE Func #REF!</definedName>
    <definedName name="BExETWVC2ECF85WXYT8IOG6U8U18" hidden="1">#REF!</definedName>
    <definedName name="BExEUJHV8RCKINDDUZ9EKK2116MH" hidden="1">Addn #REF!</definedName>
    <definedName name="BExEUK8WG4Z6L2QA4QFT0Z8AITMS" hidden="1">Addn #REF!</definedName>
    <definedName name="BExEUOAHO8X3MF3DLWEPAW6WVNI0" hidden="1">SEU Func Area by #REF!</definedName>
    <definedName name="BExEUZDOS5IW0LBVFJWVEPY4C500" hidden="1">Addn #REF!</definedName>
    <definedName name="BExEV5Z2G00UNVZN78TCFNX15OKI" hidden="1">SEU Func Area by #REF!</definedName>
    <definedName name="BExEVFKDB3I1PGDYRBZ2S7QG9M6W" hidden="1">Addn #REF!</definedName>
    <definedName name="BExEVG0H7VPEOQHSNR964Y7Q0234" hidden="1">Addn #REF!</definedName>
    <definedName name="BExEVRZZXQNCUB14WPQ8GA48DQT3" hidden="1">Addn #REF!</definedName>
    <definedName name="BExEVXUI6PQXR3D5BE29CJJ6DV2N" hidden="1">Functional #REF!</definedName>
    <definedName name="BExEWB18OJGAK1WTLGEY7JBB9YYA" hidden="1">SEU Func #REF!</definedName>
    <definedName name="BExEWKXAR9PKJRKRQI6VK7GAUXR1" hidden="1">#REF!</definedName>
    <definedName name="BExEWM9T10EA58YE3U9SIXKEYV44" hidden="1">SEU Func #REF!</definedName>
    <definedName name="BExEXM8E0F2BQDCLAB77JFLQ0PT9" hidden="1">Functional #REF!</definedName>
    <definedName name="BExEZ0A8XICFQ6C9HWDCGUHIDXDN" hidden="1">SEU Func #REF!</definedName>
    <definedName name="BExEZ76ENXGOBF5PBXQJ70L9O2PZ" hidden="1">SEU Driver #REF!</definedName>
    <definedName name="BExEZA6AQF951QMNDZITNW6I9YF4" hidden="1">SEU Func #REF!</definedName>
    <definedName name="BExEZHTCTFHWIE5X77O7X7BXREQI" hidden="1">SCG Func #REF!</definedName>
    <definedName name="BExEZJGS1LRPE6VTO367I075MALO" hidden="1">Addn #REF!</definedName>
    <definedName name="BExEZNYMRBM329VJ6BYON8FE3A6P" hidden="1">#REF!</definedName>
    <definedName name="BExF0OISVALZJC3KCPHVSTSPJ06G" hidden="1">Addn #REF!</definedName>
    <definedName name="BExF1325NS5JVS6VT49CGOE612FK" hidden="1">SEU Func #REF!</definedName>
    <definedName name="BExF1R6P0MN4JZAT3ZF12QGYH74R" hidden="1">SCG Func #REF!</definedName>
    <definedName name="BExF22Q5GLEZIXJFJ9QNV296EVC9" hidden="1">SEU Driver by Func #REF!</definedName>
    <definedName name="BExF2DNW3LPYTH861EFEUJNG7R3Y" hidden="1">SEU Func #REF!</definedName>
    <definedName name="BExF3H2O11H0RHQ9Q7S28D9I2YFF" hidden="1">Functional #REF!</definedName>
    <definedName name="BExF3TYLWVJF9PW2Q562URNI9HS3" hidden="1">Addn #REF!</definedName>
    <definedName name="BExF3YWJ9AGH6R3FHIC5E2RHLM77" hidden="1">SEU Func #REF!</definedName>
    <definedName name="BExF3ZYEVITE9FYW53VPFQQ2F1NW" hidden="1">[0]!SDGE Func #REF!</definedName>
    <definedName name="BExF415J0OXHQZRM64F05WAGOA0A" hidden="1">SEU Func Comm by #REF!</definedName>
    <definedName name="BExF421YI6V0HJL4LMQMKBC8KI1Z" hidden="1">Financial &amp; Non-#REF!</definedName>
    <definedName name="BExF4870SD6GYYBXV19HVKQE7S50" hidden="1">Addn #REF!</definedName>
    <definedName name="BExF4JVTKGSB9I6CJ72A7TOZE4CN" hidden="1">SEU Driver by Func #REF!</definedName>
    <definedName name="BExF4SQ23FGVM2RD7ROEH120ZOSM" hidden="1">Functional #REF!</definedName>
    <definedName name="BExF579EMBCCKTQ787NH5YBB9CXI" hidden="1">SEU Driver by Func #REF!</definedName>
    <definedName name="BExF59NQZO044CZ1UDDUUT1GMGGB" hidden="1">Addn #REF!</definedName>
    <definedName name="BExF5NALJ6KWCBF2J2SJV1RAKIIA" hidden="1">[0]!SDGE Func #REF!</definedName>
    <definedName name="BExF6610V6SPKG6Y40RHAG258JBC" hidden="1">#REF!</definedName>
    <definedName name="BExF6TUPOWY2HNDNPUBPWMXJZVG1" hidden="1">Functional #REF!</definedName>
    <definedName name="BExF7AXRCV25ZBTOJ6CA7J6SRJPV" hidden="1">Addn #REF!</definedName>
    <definedName name="BExF7YREKZ9KNA4NJFZO3ZUQYEKL" hidden="1">Functional #REF!</definedName>
    <definedName name="BExGKN1EQXCDQEHXP2JYQQRYTRWK" hidden="1">Addn #REF!</definedName>
    <definedName name="BExGLHB4SQLGEEKYPK5PCSP8CXIU" hidden="1">SEU Func #REF!</definedName>
    <definedName name="BExGLKB1KMG0JUC55WOOFYX0L1QT" hidden="1">Financial &amp; Non-#REF!</definedName>
    <definedName name="BExGLQ02ITX09XCPFPXUSEY9X9O6" hidden="1">Addn #REF!</definedName>
    <definedName name="BExGLYE4J4L87N4M36NDPS2FTWGP" hidden="1">Functional #REF!</definedName>
    <definedName name="BExGM1OUGUFAEN5JAJ448R6L0DC9" hidden="1">SEU Driver #REF!</definedName>
    <definedName name="BExGM4OR6LGJ4FDHDF9B4FQLO5VG" hidden="1">#REF!</definedName>
    <definedName name="BExGMMO4PGKI0FCLLW0Y83EE49RL" hidden="1">Addn #REF!</definedName>
    <definedName name="BExGMTESDL71HXFF5HGI2UNODRJZ" hidden="1">SEU Driver by Func #REF!</definedName>
    <definedName name="BExGMVYK8MOJBCT6MO7TFJCQWCB4" hidden="1">Addn #REF!</definedName>
    <definedName name="BExGNLVTUF1UPFTN1H04SGPNRF7J" hidden="1">Functional #REF!</definedName>
    <definedName name="BExGNW803QVDQPUE9JUS0V7PM9XV" hidden="1">Addn #REF!</definedName>
    <definedName name="BExGO39MU9M3YRTE728WTLYISKF8" hidden="1">Addn #REF!</definedName>
    <definedName name="BExGO9V0UPC4EUV2KNMCLR1LECQ7" hidden="1">Addn #REF!</definedName>
    <definedName name="BExGOBCYYQ32Y05966JGP890LR5P" hidden="1">Financial &amp; Non-#REF!</definedName>
    <definedName name="BExGPJ9JSSVOEMUU1M5YPEVFX4NG" hidden="1">SEU Driver by Func #REF!</definedName>
    <definedName name="BExGPYEBZP2PJXBPRNVLPF811HK5" hidden="1">Addn #REF!</definedName>
    <definedName name="BExGQ6SGHLX1UM9L4HFT426AGHTJ" hidden="1">#REF!</definedName>
    <definedName name="BExGQOMI69EAM2G0OO7JQ9QWBGHF" hidden="1">SCG Func #REF!</definedName>
    <definedName name="BExGQXM28CAHL5P2JT4MT12AXVKQ" hidden="1">Functional #REF!</definedName>
    <definedName name="BExGR05TTS4EEK6FJB4Z1XNCU2IL" hidden="1">#REF!</definedName>
    <definedName name="BExGR2PH07U3CUHH1SJI9MSVTF4X" hidden="1">[0]!SDGE Func #REF!</definedName>
    <definedName name="BExGRCLIZJ7923TN9WTU4JZQTJYD" hidden="1">SEU Driver #REF!</definedName>
    <definedName name="BExGRNOQ1INB98JYFD7QR60QU8J0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hidden="1">SEU Driver by Func #REF!</definedName>
    <definedName name="BExGSJLREUNQM8QN7XF7ULBE3ABJ" hidden="1">Functional #REF!</definedName>
    <definedName name="BExGSRP2RCVSVBEI53K7SAI5Q9PI" hidden="1">SCG Func #REF!</definedName>
    <definedName name="BExGSU3EO2DALPTV06MEXU0DGFQC" hidden="1">SEU Func #REF!</definedName>
    <definedName name="BExGT9TRBEXEWQ0B9KXJX7Z5UJRY" hidden="1">Financial &amp; Non-#REF!</definedName>
    <definedName name="BExGTBMJUADXPOUCEYU665THGQO2" hidden="1">Functional #REF!</definedName>
    <definedName name="BExGTIITSO78YF6RR73QHWEYK87U" hidden="1">Addn #REF!</definedName>
    <definedName name="BExGUAOWJHFLPH9QVH93IOYVKOMO" hidden="1">[0]!SDGE Func #REF!</definedName>
    <definedName name="BExGUGJ7JW4B1Q93WL3HH2XKDWXW" hidden="1">Addn #REF!</definedName>
    <definedName name="BExGUOBXX25SLEUMAHTMBBD37IF8" hidden="1">SCG Func #REF!</definedName>
    <definedName name="BExGV83UEDIYPPYAFYK850MTRA20" hidden="1">#REF!</definedName>
    <definedName name="BExGVWU3I1N98ZJLT37NV6U7MU41" hidden="1">Addn #REF!</definedName>
    <definedName name="BExGVXVSDMTHO66SM4TYGELLKBHR" hidden="1">SCG Func #REF!</definedName>
    <definedName name="BExGW1XJNF8ZA5174XEG2T1BA0LK" hidden="1">#REF!</definedName>
    <definedName name="BExGX3E1UUGUNWM7H46KUNH1G7V9" hidden="1">SEU Func Area by #REF!</definedName>
    <definedName name="BExGXFDNXOOKOD5MZTQ0KVDF4N34" hidden="1">#REF!</definedName>
    <definedName name="BExGXNX1TWG5GTUBXCTBTF1B4KJV" hidden="1">Financial &amp; Non-#REF!</definedName>
    <definedName name="BExGXQM6KA3CYNQRFGYQ73WXXG17" hidden="1">[0]!SDGE Func #REF!</definedName>
    <definedName name="BExGXX7JK0MPSZQT0YGZ8WBGKX1B" hidden="1">Addn #REF!</definedName>
    <definedName name="BExGY55KGVQABF1JSG4UW8ZYF0V0" hidden="1">Addn #REF!</definedName>
    <definedName name="BExGY7ZZ56Z6VYPBCD3UONC4EJZG" hidden="1">Functional #REF!</definedName>
    <definedName name="BExGY9CMOVKAA1T7PZKIYJK1B21L" hidden="1">Addn #REF!</definedName>
    <definedName name="BExGYKL4E6PDS7BORYW6OIYDZ08D" hidden="1">#REF!</definedName>
    <definedName name="BExGZANU0NKBR7BENVVONMA3G9VH" hidden="1">Functional #REF!</definedName>
    <definedName name="BExGZE3V7GJL3EY0JX5GX8MBWN8U" hidden="1">SEU Func Comm by #REF!</definedName>
    <definedName name="BExGZEPFQH1LIB70VVOS2H2BZGAG" hidden="1">SEU Driver #REF!</definedName>
    <definedName name="BExGZHJZPD8DKFQ3732QJAL8QVXT" hidden="1">Addn #REF!</definedName>
    <definedName name="BExGZJ1XKN2W09Q7JR3W6MM4STLQ" hidden="1">Financial &amp; Non-#REF!</definedName>
    <definedName name="BExGZQZS6V2URKO3EIGKOOVHUU3H" hidden="1">Addn #REF!</definedName>
    <definedName name="BExH0IKGVHOBJIDPCZHJ479O3SRP" hidden="1">SEU Func #REF!</definedName>
    <definedName name="BExH1YKD2I1DBVJNDJET8J83W122" hidden="1">[0]!SDGE Func #REF!</definedName>
    <definedName name="BExH2CY9K2FSWO15D9QFCTPUHA9H" hidden="1">Addn #REF!</definedName>
    <definedName name="BExH2D91ZFWCDB3SI5A50B000FVX" hidden="1">Addn #REF!</definedName>
    <definedName name="BExH2YZ94P6CDZWU4OBA137L6UHO" hidden="1">SEU Func #REF!</definedName>
    <definedName name="BExH3P7DTX62RPMIDHX5GI04FYKQ" hidden="1">Functional #REF!</definedName>
    <definedName name="BExH4ETUSFTMPBY6PV1SWMC6QX5G" hidden="1">#REF!</definedName>
    <definedName name="BExIFSCMTI0FAJ8EV2XHIBYCOK6I" hidden="1">Addn #REF!</definedName>
    <definedName name="BExIH2T1CRIPNN2YFR7GOWLYEA52" hidden="1">SCG Func #REF!</definedName>
    <definedName name="BExIH2T1IY9JQEUFBZ4JLOJV0TG5" hidden="1">Functional #REF!</definedName>
    <definedName name="BExIHGAIUBSYBR9A804NA3TRM4S8" hidden="1">#REF!</definedName>
    <definedName name="BExIHZRVCSHLCGDXWK8U6MU55AB7" hidden="1">SEU Func #REF!</definedName>
    <definedName name="BExII4VA48OXWGVJF9IBSMUY9V98" hidden="1">Functional #REF!</definedName>
    <definedName name="BExII7EXHAHJM240CRUWBO9962O7" hidden="1">Addn #REF!</definedName>
    <definedName name="BExIITW628XK67X2U1OPK4J84ZEV" hidden="1">#REF!</definedName>
    <definedName name="BExIJ7DPBEAMQ0MSR84W0UBZWEGS" hidden="1">SEU Func #REF!</definedName>
    <definedName name="BExIJA84K6XVD5SKJPK4SV2P73TB" hidden="1">#REF!</definedName>
    <definedName name="BExIJNPMVEY41OWJGVYMC94PWIYE" hidden="1">Addn #REF!</definedName>
    <definedName name="BExIJPIDP9JV8OJLIDAYGPANDFSY" hidden="1">Financial &amp; Non-#REF!</definedName>
    <definedName name="BExIJPNPAAVDZH0GGK1FKGQPZZSM" hidden="1">#REF!</definedName>
    <definedName name="BExIK1HYH5WNNXHXQ1OWPYCTHU72" hidden="1">Addn #REF!</definedName>
    <definedName name="BExIKEZJKO4ZEDFGQII0YK1U11JZ" hidden="1">#REF!</definedName>
    <definedName name="BExIKRKOIS45NJ5YKIDVWPQOYOL9" hidden="1">Addn #REF!</definedName>
    <definedName name="BExIL4B5GFRFNQH8Q8AMHVEHCUZO" hidden="1">Functional #REF!</definedName>
    <definedName name="BExIL4GLR59EU0W87F88F2QG1Z8O" hidden="1">#REF!</definedName>
    <definedName name="BExILAR1ZPEWM5YR24H92C0JDRRN" hidden="1">Addn #REF!</definedName>
    <definedName name="BExILDATS6PRT5N7FTAWPKOBH5B7" hidden="1">#REF!</definedName>
    <definedName name="BExILWHDUF5X53U4Q4U0I1JKVVE5" hidden="1">Functional #REF!</definedName>
    <definedName name="BExIM4VIKFX1GI2KS4JBBQD4OZC4" hidden="1">Addn #REF!</definedName>
    <definedName name="BExIMC2EV8MZFYH202AYX95VN5T4" hidden="1">Functional #REF!</definedName>
    <definedName name="BExIMQ5KZ1K5TTI03C4VA04B2U57" hidden="1">Functional #REF!</definedName>
    <definedName name="BExIN13AVDPXLS4PF4Z9M9G1Z76E" hidden="1">SEU Func #REF!</definedName>
    <definedName name="BExIND86ZS4TEVYV6ZK18DKTBFIO" hidden="1">SEU Driver by Func #REF!</definedName>
    <definedName name="BExIO8P4YOIMV1JAWVAZ4DO6021M" hidden="1">Addn #REF!</definedName>
    <definedName name="BExIP5D60RQDO1HRB19L6DCT83H4" hidden="1">Addn #REF!</definedName>
    <definedName name="BExIPBNM3CSLE9YV7LOT0R11MJBI" hidden="1">Addn #REF!</definedName>
    <definedName name="BExIQ92Q0519J5MJF4MW49ZAAUV6" hidden="1">SCG Func #REF!</definedName>
    <definedName name="BExIQEM98FHB6XHBDY1JFPRGK4MD" hidden="1">Addn #REF!</definedName>
    <definedName name="BExIQK0GFOIXW53793KMLA7DSQWI" hidden="1">Addn #REF!</definedName>
    <definedName name="BExIQS98Y1Q64V6T2E9KQVFOKVI8" hidden="1">Addn #REF!</definedName>
    <definedName name="BExIQTG93KR7ME8UBCBGVA6APZ6M" hidden="1">SEU Driver by Func #REF!</definedName>
    <definedName name="BExIR9SCR713IFP0WZBGWVXN92JA" hidden="1">SEU Func #REF!</definedName>
    <definedName name="BExIRG2YB6U8XHVW0HAGK8L4KEYV" hidden="1">Addn #REF!</definedName>
    <definedName name="BExIRL0WRAH90TEKQ2PU8MXBVPBM" hidden="1">#REF!</definedName>
    <definedName name="BExIRNVGNU73CEF6ALOGYUNOW0U7" hidden="1">SCG Func #REF!</definedName>
    <definedName name="BExIRVO0QSGCASW0AWUQM10DO92I" hidden="1">Addn #REF!</definedName>
    <definedName name="BExIS0WSQ5Z8QJQFTZYMXQZN5YCN" hidden="1">SEU Driver by Func #REF!</definedName>
    <definedName name="BExIS4YIQALZA992UXXBU4JDFBGM" hidden="1">Addn #REF!</definedName>
    <definedName name="BExISG72A6BHVE3NBQVTYPSLT7KB" hidden="1">Addn #REF!</definedName>
    <definedName name="BExITABBUGATHQ5Y5MAOQP5SH17Q" hidden="1">SEU Func #REF!</definedName>
    <definedName name="BExITARJVCVQ5G6KQDP88RC6QHCY" hidden="1">SEU Driver by Func #REF!</definedName>
    <definedName name="BExITBIGWP0MJPJSN8IZU3RMEAWJ" hidden="1">Addn #REF!</definedName>
    <definedName name="BExITOP7O4BSUW087EKMYLKB4UXR" hidden="1">Addn #REF!</definedName>
    <definedName name="BExIUBXHE3WUI9QDGCGHET2XGDAL" hidden="1">Addn #REF!</definedName>
    <definedName name="BExIV8QOQ84LJ5PXUX5MI80QGD5Q" hidden="1">SEU Driver #REF!</definedName>
    <definedName name="BExIW726IGZYRA6TJ5ZLKE7ABQG8" hidden="1">Addn #REF!</definedName>
    <definedName name="BExIWEJX25D5FZQI9Z7LS76QACOK" hidden="1">SEU Func #REF!</definedName>
    <definedName name="BExIWX4QUS8GZI89PS41C2PO12UH" hidden="1">#REF!</definedName>
    <definedName name="BExIXEYRZT15Z6D54TJWMF3SWCQP" hidden="1">SEU Driver #REF!</definedName>
    <definedName name="BExIXNCWXXNR81ZIR70WT7ST77V6" hidden="1">#REF!</definedName>
    <definedName name="BExIXR95Q2IRU8YKZAQATRN0FWV6" hidden="1">Addn #REF!</definedName>
    <definedName name="BExIXZ1KHL3SNHLFECYBDHKZ6U46" hidden="1">Financial &amp; Non-#REF!</definedName>
    <definedName name="BExIXZXWB0BZMJ1121LAL9FZAMPY" hidden="1">#REF!</definedName>
    <definedName name="BExIXZY37U9ICT1J1TGVVPDR0J6T" hidden="1">Addn #REF!</definedName>
    <definedName name="BExIYBS6OBX000CKF26KUVT6PKXL" hidden="1">[0]!SDGE Func #REF!</definedName>
    <definedName name="BExIYHH6IUOGFPR0AUG0J2X3E6P1" hidden="1">SEU Func #REF!</definedName>
    <definedName name="BExIZ6STDECZVLI5IBZWNWSATJ4K" hidden="1">#REF!</definedName>
    <definedName name="BExIZ7954XTG6TZNHLKX4KDKM9AL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hidden="1">SEU Driver by Func #REF!</definedName>
    <definedName name="BExKESQ2K3X7U1M7WJDWS8NN1TYL" hidden="1">Addn #REF!</definedName>
    <definedName name="BExKF1KFA6ISNT7S5JBN7SJ6HN1G" hidden="1">#REF!</definedName>
    <definedName name="BExKFMZTST3O2X2Y679VNNJ5G5IT" hidden="1">Addn #REF!</definedName>
    <definedName name="BExKFY31TCY75OMUQNG8CGUAAIZH" hidden="1">SEU Func #REF!</definedName>
    <definedName name="BExKGB4BKOPM9LE0VKOE03YHIQQM" hidden="1">[0]!SDGE Func #REF!</definedName>
    <definedName name="BExKGK414LP3SF9H998WCWSOZ2RF" hidden="1">SEU Func Comm by #REF!</definedName>
    <definedName name="BExKGYCEMSXID5NF8FBMWC5E4K2K" hidden="1">SEU Func #REF!</definedName>
    <definedName name="BExKH58LCFIHH716PTTOB278LXGP" hidden="1">SEU Func Area by #REF!</definedName>
    <definedName name="BExKH8DY8MFUAOSM43HQ8ZLUIYDQ" hidden="1">SEU Func Comm by #REF!</definedName>
    <definedName name="BExKHZICQ1E9QB703OWB9P9TA3GE" hidden="1">#REF!</definedName>
    <definedName name="BExKI5I5KMP8GK5LXTIJRDIZI45R" hidden="1">Financial &amp; Non-#REF!</definedName>
    <definedName name="BExKI6PB6I40BP844JARMGLG2SEB" hidden="1">SEU Func Comm by #REF!</definedName>
    <definedName name="BExKIQXJ967YLRAPFPZG794BH5FH" hidden="1">#REF!</definedName>
    <definedName name="BExKJ449OV40VVKF65OXB94QVZRT" hidden="1">[0]!SDGE Func #REF!</definedName>
    <definedName name="BExKJDK7IFNOH6RPBUJFQZKBG9OH" hidden="1">#REF!</definedName>
    <definedName name="BExKJQWAL54M0GRP4G9LT5MZ4OMD" hidden="1">Functional #REF!</definedName>
    <definedName name="BExKJSP190NZYQ5XVLKC55XXONA5" hidden="1">Financial &amp; Non-#REF!</definedName>
    <definedName name="BExKK133OOFMQ7OWQCIX64AAKG2L" hidden="1">Functional #REF!</definedName>
    <definedName name="BExKK2VV978E5BT67CQZMWKW3LM0" hidden="1">SEU Driver #REF!</definedName>
    <definedName name="BExKKKPT0RT08PFXTO1TW4GD4O72" hidden="1">Financial &amp; Non-#REF!</definedName>
    <definedName name="BExKKQ3YKPG0QQ2CCOWY5FOQL6XM" hidden="1">Functional #REF!</definedName>
    <definedName name="BExKL9FUJ2MAP5ZX5Z9FRXDH8NYC" hidden="1">Addn #REF!</definedName>
    <definedName name="BExKM8YAU64ZSHWSTOSVCXXSSCW3" hidden="1">Addn #REF!</definedName>
    <definedName name="BExKML3DLDIN5KIOOVS39URB556K" hidden="1">SEU Driver #REF!</definedName>
    <definedName name="BExKNYOZYS7I7HLZ129C2GRARZ16" hidden="1">Addn #REF!</definedName>
    <definedName name="BExKP7Y39UUGJ27U56FD2ME1KEP8" hidden="1">#REF!</definedName>
    <definedName name="BExKPRKVLJ5V59B8JWBKL52I9LUS" hidden="1">SEU Driver #REF!</definedName>
    <definedName name="BExKQ0F2NKVWWZKV3BGXGP4M2VAB" hidden="1">Financial &amp; Non-#REF!</definedName>
    <definedName name="BExKQ8NVLIT2Y22ECVW8NVPOMRIS" hidden="1">Addn #REF!</definedName>
    <definedName name="BExKR1VTU35AA8MJSWNOC03YM1QJ" hidden="1">Functional #REF!</definedName>
    <definedName name="BExKR8RYW6MVQ90YGUFXYV8L34Y9" hidden="1">Addn #REF!</definedName>
    <definedName name="BExKRWQXIQ0Z9KBXHOCWW79NEIMQ" hidden="1">SEU Driver by Func #REF!</definedName>
    <definedName name="BExKS6N0RWV8M0L0SWKOTCW30V6N" hidden="1">SCG Func #REF!</definedName>
    <definedName name="BExKS73AFX6IOPJ24COHC5Y30145" hidden="1">Addn #REF!</definedName>
    <definedName name="BExKTCLKTZQTBMY9VWLXLV0JMA9G" hidden="1">SCG Func #REF!</definedName>
    <definedName name="BExKTWOHI8PDZ0JPTTE7Q0RFDQ6A" hidden="1">SEU Func Comm by #REF!</definedName>
    <definedName name="BExKU39VGJLLYZIYK7152IIOF3QO" hidden="1">Functional #REF!</definedName>
    <definedName name="BExKU8YVHGSXISXM3VLI5L8DZB9M" hidden="1">Addn #REF!</definedName>
    <definedName name="BExKUBTB0I4XX7MY353FZD37JTT1" hidden="1">Addn #REF!</definedName>
    <definedName name="BExKUCPN5NTM52SNK7EI4BW9SB8G" hidden="1">Addn #REF!</definedName>
    <definedName name="BExKVDVJGVVKQQE2R9K79IPYV84K" hidden="1">Functional #REF!</definedName>
    <definedName name="BExM8ZKH3UP9P5WJASC50S8LP664" hidden="1">Addn #REF!</definedName>
    <definedName name="BExMAJRGSIR6B60AL6WX7A4LRW60" hidden="1">Functional #REF!</definedName>
    <definedName name="BExMAL43YJRRMMRTLS9A2ADQ7ARN" hidden="1">Addn #REF!</definedName>
    <definedName name="BExMAY020KM1KV6VF6ECNR54F8H4" hidden="1">Financial &amp; Non-#REF!</definedName>
    <definedName name="BExMAYWEZTCCJHQMGTDJ1A37YU7A" hidden="1">Addn #REF!</definedName>
    <definedName name="BExMB1QV9QK0ZMI45WS9BP5AFQ6O" hidden="1">SEU Driver by Func #REF!</definedName>
    <definedName name="BExMCGZWH8JESXBU5FKRQLUIGD7H" hidden="1">SEU Func #REF!</definedName>
    <definedName name="BExMCYTRQZAN58T3JVVUKN00G8TA" hidden="1">#REF!</definedName>
    <definedName name="BExMDJ7HH09S5OF6ZSLZ3GNDIQPI" hidden="1">SEU Driver #REF!</definedName>
    <definedName name="BExMDJT23FOO7CHLLHTC90FO8HTA" hidden="1">Addn #REF!</definedName>
    <definedName name="BExMDPY5F5XZH8HO45T0GJBQLNMS" hidden="1">SCG Func #REF!</definedName>
    <definedName name="BExMDUAP2EQI3Q78L0SAFXFLPT4B" hidden="1">Functional #REF!</definedName>
    <definedName name="BExME7MQDJ65NPFDCI9ZJHESAOUO" hidden="1">Functional #REF!</definedName>
    <definedName name="BExMEB88ZSSHONPYPVQVLMI087MN" hidden="1">[0]!SDGE Func #REF!</definedName>
    <definedName name="BExMEBZAZ4NPJIN5YIPCHXTCLUYU" hidden="1">Financial &amp; Non-#REF!</definedName>
    <definedName name="BExMEJ69PEOYTY3JH5Y4HI9K37HM" hidden="1">Addn #REF!</definedName>
    <definedName name="BExMELPVH2A780R1BZF94B61NNLT" hidden="1">Functional #REF!</definedName>
    <definedName name="BExMENTE6VDOIFDN6E9OIT1X7FRI" hidden="1">Financial &amp; Non-#REF!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hidden="1">Addn #REF!</definedName>
    <definedName name="BExMGOXWQY72Q42XUVNBNJ68SCWL" hidden="1">SEU Func #REF!</definedName>
    <definedName name="BExMGPOYUC1P4H867BRSI49M7XN4" hidden="1">Functional #REF!</definedName>
    <definedName name="BExMGQQSKI22L90LKX7J7R8IJTYN" hidden="1">[0]!SDGE Func #REF!</definedName>
    <definedName name="BExMGS39V91P6N8K89TBHIK11NXN" hidden="1">SCG Func #REF!</definedName>
    <definedName name="BExMH1TVNP5HF1BRYTLXIDDKOZ6S" hidden="1">Addn #REF!</definedName>
    <definedName name="BExMHDO5Q50GZZG66W4JZ17HQPJ6" hidden="1">Addn #REF!</definedName>
    <definedName name="BExMHHPRC496VAFBZBHWJ2Q8RAY2" hidden="1">Addn #REF!</definedName>
    <definedName name="BExMHIM2IX8RUQZ8XXGJRV8VASYM" hidden="1">Addn #REF!</definedName>
    <definedName name="BExMHQ3UNCVIBIXHPQMSNULHFRZJ" hidden="1">#REF!</definedName>
    <definedName name="BExMHZZWCUW2LAKE6DQCGOIO6UNL" hidden="1">SEU Func #REF!</definedName>
    <definedName name="BExMI9VX7UHKIXM5WADK6NYN15DD" hidden="1">SEU Driver by Func #REF!</definedName>
    <definedName name="BExMIFA55ROTS3LTP0KD4HNJ4KNM" hidden="1">Addn #REF!</definedName>
    <definedName name="BExMJLOTJ54L4YM3YNGCNJ05Z06B" hidden="1">#REF!</definedName>
    <definedName name="BExMJXTQCAKQTOWFNWVOYBSD2E3H" hidden="1">Addn #REF!</definedName>
    <definedName name="BExMK7V8LGPSGPADE34UVO11KCDN" hidden="1">Addn #REF!</definedName>
    <definedName name="BExMKQAQ0OOXUQQNP16IW04CB31T" hidden="1">Financial &amp; Non-#REF!</definedName>
    <definedName name="BExML135M2OMCP27UTB2EE8RHL6J" hidden="1">Addn #REF!</definedName>
    <definedName name="BExML4TY6P9PJ1AH1XDQGD5C68F2" hidden="1">#REF!</definedName>
    <definedName name="BExMM0WFG8G3KB0OASCLL5AC0ONW" hidden="1">SEU Func Comm by #REF!</definedName>
    <definedName name="BExMM1HZVEP4G5J4DX615ZSFMQUZ" hidden="1">Functional #REF!</definedName>
    <definedName name="BExMMNTRRKO04772SBFDMS83UJFW" hidden="1">Addn #REF!</definedName>
    <definedName name="BExMMOA1RQU6F8AW993D1AV8FS83" hidden="1">Functional #REF!</definedName>
    <definedName name="BExMNAAZN51CLJDY28X4R17SL7DY" hidden="1">SCG Func #REF!</definedName>
    <definedName name="BExMNB7CXH6Z415JA8NXAQTTWE6F" hidden="1">Functional #REF!</definedName>
    <definedName name="BExMNDAX5P2SPZLWT664PLCI91A1" hidden="1">Functional #REF!</definedName>
    <definedName name="BExMNGWDVOO76VO30FKCO8J0OCCC" hidden="1">SEU Func #REF!</definedName>
    <definedName name="BExMNPAGCU6O5FM90I5DQNXTDLU6" hidden="1">[0]!SDGE Func #REF!</definedName>
    <definedName name="BExMNZS3Y02ZU55HR88AN6OIBHNO" hidden="1">SEU Driver #REF!</definedName>
    <definedName name="BExMO5X7UFE5OT76GT4ZZJOLG4M8" hidden="1">Financial &amp; Non-#REF!</definedName>
    <definedName name="BExMOHM0XU316F0O6JVHM10XKMNM" hidden="1">Addn #REF!</definedName>
    <definedName name="BExMOOSY6RU55NYNTNDFRW0VNJ8R" hidden="1">SCG Func #REF!</definedName>
    <definedName name="BExMP1UCX5RBULDAEQQRH40M55B0" hidden="1">#REF!</definedName>
    <definedName name="BExMPC13DPCNW7JITTX6YD0FA6XQ" hidden="1">Addn #REF!</definedName>
    <definedName name="BExMPP7U4PC4FO9ST6JRYVV57T4W" hidden="1">Financial &amp; Non-#REF!</definedName>
    <definedName name="BExMQ4NLEEZ3RE0WXCQS3UISSFC2" hidden="1">Addn #REF!</definedName>
    <definedName name="BExMQ6ATGDBCHCFPL4LNQH0G3C3Q" hidden="1">SEU Driver #REF!</definedName>
    <definedName name="BExMQJSCDCUXDSNTD1B9LXMPUQ4T" hidden="1">SCG Func #REF!</definedName>
    <definedName name="BExMQRKWQ4GCVSBUJBM4509XR0I6" hidden="1">#REF!</definedName>
    <definedName name="BExMQZDFM6REC1CIHLIWOO0S42A2" hidden="1">SEU Func #REF!</definedName>
    <definedName name="BExMR6EWCY52W01QZQOLBFTR124J" hidden="1">SEU Driver by Func #REF!</definedName>
    <definedName name="BExMRKY9QK5LV0WQSEVF1NEPLY2I" hidden="1">SEU Driver by Func #REF!</definedName>
    <definedName name="BExMRTSGRYVIP5AR6LCTRF8D71KA" hidden="1">Addn #REF!</definedName>
    <definedName name="BExMSEX7XWOZM8GVFKRFEQBGHXOA" hidden="1">SEU Driver by Func #REF!</definedName>
    <definedName name="BExMSKGR674YUIEMWAXOD5HI4J7B" hidden="1">SEU Driver #REF!</definedName>
    <definedName name="BExO60WZVOCTJPE1IXJG0XGYZJNT" hidden="1">SEU Func Area by #REF!</definedName>
    <definedName name="BExO6129YAWMR7HOVBDF4LQNVP66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hidden="1">Addn #REF!</definedName>
    <definedName name="BExO74XBR05Z3OFEINK71ZZNGEIN" hidden="1">[0]!SDGE Func #REF!</definedName>
    <definedName name="BExO7ABJCC5RO5ZRFO3EALA6E26V" hidden="1">SEU Func Area by #REF!</definedName>
    <definedName name="BExO7IPN407OSZ4D26UTUGXWY1L2" hidden="1">Addn #REF!</definedName>
    <definedName name="BExO7QI6R622VVAMNZSEVHADGAW4" hidden="1">SEU Func Area by #REF!</definedName>
    <definedName name="BExO7ZSNWDHCVH0VQ4UKOGZ520HS" hidden="1">SEU Func Comm by #REF!</definedName>
    <definedName name="BExO82SKFIERVB1ZNP4AC82M8YUP" hidden="1">#REF!</definedName>
    <definedName name="BExO8AA9S369RFL3XGH097ZQX2FJ" hidden="1">SEU Driver by Func #REF!</definedName>
    <definedName name="BExO8RYVNYD1T7M7F0JW2TXZLTP3" hidden="1">[0]!SDGE Func #REF!</definedName>
    <definedName name="BExO9504J9X5SXORSOTXW0PT59JX" hidden="1">Financial &amp; Non-#REF!</definedName>
    <definedName name="BExO955HS210TLM0L428N4017JNQ" hidden="1">#REF!</definedName>
    <definedName name="BExO9HAIWSP2HKRMYQK5HSJJRXB5" hidden="1">[0]!SDGE Func #REF!</definedName>
    <definedName name="BExO9JU5FRFZS8VOCWSHGOCNPRUO" hidden="1">SEU Driver #REF!</definedName>
    <definedName name="BExO9TVPELHSSYFNE9H2Q12VARJ8" hidden="1">Functional #REF!</definedName>
    <definedName name="BExOA069IYGEKQJUMRNZAUYGHYEV" hidden="1">Addn #REF!</definedName>
    <definedName name="BExOA24AWI5P528WA2MG9XPJ10L9" hidden="1">Addn #REF!</definedName>
    <definedName name="BExOAN8WWRQQ821CN5CAUAUS1H3H" hidden="1">Addn #REF!</definedName>
    <definedName name="BExOAZZISMSAAP3ZVSJOPBGSEBYJ" hidden="1">Addn #REF!</definedName>
    <definedName name="BExOBDGX77AE6KDSC3Q8QBAKF7OZ" hidden="1">SEU Driver #REF!</definedName>
    <definedName name="BExOBFF4KANUZYUK37E4232RPCZ5" hidden="1">SEU Func Area by #REF!</definedName>
    <definedName name="BExOBPB6HWKPTKGSF2NVW5BFY089" hidden="1">Addn #REF!</definedName>
    <definedName name="BExOBT1YWRS72JU43NBHNLN3MX37" hidden="1">Functional #REF!</definedName>
    <definedName name="BExOCBHLUOJJ3UA543C0845URN9O" hidden="1">#REF!</definedName>
    <definedName name="BExOCI8BCYE5VOS7SW59CHPXQXD3" hidden="1">Functional #REF!</definedName>
    <definedName name="BExOCYKA8C9LCJZ97HE642EHO6MV" hidden="1">#REF!</definedName>
    <definedName name="BExOCZ0IZA0NXKV7K1DZEZBNRTDZ" hidden="1">[0]!SDGE Func #REF!</definedName>
    <definedName name="BExOCZ0J5OGJ1P4AGO1KSRW4EGU9" hidden="1">Addn #REF!</definedName>
    <definedName name="BExOD3YNCD55OGF8FWVKI8E6ZHCX" hidden="1">Addn #REF!</definedName>
    <definedName name="BExODLSK4AXZMT0UQ7308DJ25A3X" hidden="1">Addn #REF!</definedName>
    <definedName name="BExODTVTSFDRYVKXVTZMAYROJNAC" hidden="1">Addn #REF!</definedName>
    <definedName name="BExOEATEHRPAAW59WRPVUXCSXWWM" hidden="1">Financial &amp; Non-#REF!</definedName>
    <definedName name="BExOECBC8K6R5WJMBKLK19FVPEIH" hidden="1">#REF!</definedName>
    <definedName name="BExOESNA0H1NRV4Z3HXFZAV6JNPO" hidden="1">SEU Driver by Func #REF!</definedName>
    <definedName name="BExOEWZU6X5T9E578SELNVKF8IT1" hidden="1">#REF!</definedName>
    <definedName name="BExOF6VWZ97OQ1MXBL3NB7Z9GHAD" hidden="1">SEU Func #REF!</definedName>
    <definedName name="BExOFNINR8MYGMZJAJWXQT3V0DRI" hidden="1">#REF!</definedName>
    <definedName name="BExOFYR5NL8NL19S6KEG4ONIU4H4" hidden="1">SEU Func Comm by #REF!</definedName>
    <definedName name="BExOG106RFCPYHFQJP0S6YDXA8WY" hidden="1">Financial &amp; Non-#REF!</definedName>
    <definedName name="BExOG63K269Z3JX8RAXAOV5RFA6S" hidden="1">SEU Func Comm by #REF!</definedName>
    <definedName name="BExOG8HWP4K3ABV2RW47ERMG54WX" hidden="1">SEU Func #REF!</definedName>
    <definedName name="BExOG8SO9ZNSX3LX33TCRGER0FC5" hidden="1">Addn #REF!</definedName>
    <definedName name="BExOGGL7DY6KAFJ3BT9C5DDB2DMN" hidden="1">#REF!</definedName>
    <definedName name="BExOGUDJ29BYVV2DFL766H2VHS9P" hidden="1">Addn #REF!</definedName>
    <definedName name="BExOGXO35C5VQTEPYOMAXTTGK35G" hidden="1">Functional #REF!</definedName>
    <definedName name="BExOHGUL493OFL92WUO5941UNVAF" hidden="1">#REF!</definedName>
    <definedName name="BExOHJZZKRW8MLWKB8ZPBTDFT1NN" hidden="1">Functional #REF!</definedName>
    <definedName name="BExOJ4XVI6RIYLYK2Z74M5KI02TX" hidden="1">#REF!</definedName>
    <definedName name="BExOJEOL8KHOSO8KJA1RDXFGIAC7" hidden="1">SEU Driver by Func #REF!</definedName>
    <definedName name="BExOJJ6GSDEMS1GWKT2EHSUUP616" hidden="1">Addn #REF!</definedName>
    <definedName name="BExOK5I6MPNO5GXXJQESFQBM82FB" hidden="1">Addn #REF!</definedName>
    <definedName name="BExOKB76IASP45CDFUS9NBC6S8ID" hidden="1">#REF!</definedName>
    <definedName name="BExOKCJURL6UU68VOLAM5OSCNJUV" hidden="1">[0]!SDGE Func #REF!</definedName>
    <definedName name="BExOLEGH73PP7GBMUFDRSXY7QCGF" hidden="1">Addn #REF!</definedName>
    <definedName name="BExOM0C3ZT7OZ02ETIUHWUYMX0RH" hidden="1">#REF!</definedName>
    <definedName name="BExONUPYFRBOE82K597FNCKB2HNV" hidden="1">SEU Func #REF!</definedName>
    <definedName name="BExOOGLMRXXY80EY8PMUW7M6NGBT" hidden="1">Functional #REF!</definedName>
    <definedName name="BExOQAU418SOUHRKKHCQ7XH3N1UG" hidden="1">#REF!</definedName>
    <definedName name="BExQ2YIINOU9OPZUELI88344M3RN" hidden="1">SEU Driver by Func #REF!</definedName>
    <definedName name="BExQ3EZXMYF6SC2MDLM85CBCD7NU" hidden="1">SEU Func #REF!</definedName>
    <definedName name="BExQ3LLAZX8BH6YDVV2IJ97BR385" hidden="1">Addn #REF!</definedName>
    <definedName name="BExQ3VMNX0N9RDUPVIRP8O2P94JM" hidden="1">#REF!</definedName>
    <definedName name="BExQ3XFEYJSJLWP8XJNQY5ER1QTA" hidden="1">Addn #REF!</definedName>
    <definedName name="BExQ3ZTP2E66EKF82DXHNW6OWQVU" hidden="1">Addn #REF!</definedName>
    <definedName name="BExQ4AWYCTIYAGZI30IIHJRMK9QG" hidden="1">SEU Func #REF!</definedName>
    <definedName name="BExQ4CPOM6QGR639Q3KY4ECMC332" hidden="1">SCG Func #REF!</definedName>
    <definedName name="BExQ4F9B38CP2K9VITUCWBF1V0CS" hidden="1">Addn #REF!</definedName>
    <definedName name="BExQ4I9DCQNTO5R0AAS2BVIQ0LU0" hidden="1">Addn #REF!</definedName>
    <definedName name="BExQ4MG9P145QUW5CV2HFKQNQIPD" hidden="1">SCG Func #REF!</definedName>
    <definedName name="BExQ4Q77K0YR2IE6YWVW9WWVOXVJ" hidden="1">Addn #REF!</definedName>
    <definedName name="BExQ4QNIBAMQ3SZ3YUJTHQ453ECA" hidden="1">[0]!SDGE Func #REF!</definedName>
    <definedName name="BExQ50E33GY7AGKBQS7CUT71NA7V" hidden="1">Functional #REF!</definedName>
    <definedName name="BExQ51A9NLA2Z0BHSZ3HH003DUV6" hidden="1">#REF!</definedName>
    <definedName name="BExQ6RBQUCKWWHR49B00BM7NJKBU" hidden="1">SEU Driver #REF!</definedName>
    <definedName name="BExQ7H8Z4JZEKV7DKRN8IR7L8LN4" hidden="1">SEU Driver by Func #REF!</definedName>
    <definedName name="BExQ7M718ZLUNZ31YFPZU417O6AS" hidden="1">Addn #REF!</definedName>
    <definedName name="BExQ7YS7NL71BNL8X2TPIZ4UFABT" hidden="1">SCG Func #REF!</definedName>
    <definedName name="BExQ88OA9QG61T9Y6ICP4LHO80L4" hidden="1">#REF!</definedName>
    <definedName name="BExQ8P082ADH0GHYHNAS5H76LODT" hidden="1">Addn #REF!</definedName>
    <definedName name="BExQ8ZN66PYJPS4NA56Y8ZW76WHA" hidden="1">SEU Driver #REF!</definedName>
    <definedName name="BExQ9KH5NBG3I2WC91XLCXADHCY8" hidden="1">Addn #REF!</definedName>
    <definedName name="BExQ9P9MV7LZESESTQODI5LPS43P" hidden="1">#REF!</definedName>
    <definedName name="BExQ9RYW8PAJJS7C5ROAMSOU24FA" hidden="1">SEU Func #REF!</definedName>
    <definedName name="BExQABQUO054C0TGXGU1E178CJ78" hidden="1">Functional #REF!</definedName>
    <definedName name="BExQAI6W93U5E8GKHSEMYVCOQDTK" hidden="1">Financial &amp; Non-#REF!</definedName>
    <definedName name="BExQAJJDG87VXDZVZ6L4TVFA43G8" hidden="1">Addn #REF!</definedName>
    <definedName name="BExQAX0XGWFG7U8J58T1B6GLBTPQ" hidden="1">Financial &amp; Non-#REF!</definedName>
    <definedName name="BExQAXMHIUFR2SXTYEOXH1IU7FI6" hidden="1">SEU Func #REF!</definedName>
    <definedName name="BExQB7O1191BXM70J8YLKLI37EI7" hidden="1">SEU Func #REF!</definedName>
    <definedName name="BExQBAYQL3L2GL45IPXO9PHQXN1E" hidden="1">Addn #REF!</definedName>
    <definedName name="BExQBB9D8E92R7TZYZR39OAYKBAZ" hidden="1">Financial &amp; Non-#REF!</definedName>
    <definedName name="BExQBIB0AV5H6PRIUIV5BP99WOGP" hidden="1">Addn #REF!</definedName>
    <definedName name="BExQBNEFP57K3WT5RWPEKXN96DSN" hidden="1">Financial &amp; Non-#REF!</definedName>
    <definedName name="BExQBOG43NUN0YPBOQ9ELQJM1KK8" hidden="1">[0]!SDGE Func #REF!</definedName>
    <definedName name="BExQBR56XC5DKOS6VWQSM0V1CNVK" hidden="1">#REF!</definedName>
    <definedName name="BExQBW8N109R7HBQWZ3ITXTT9NHA" hidden="1">Functional #REF!</definedName>
    <definedName name="BExQBWE35QPYV14IAX9WA9PCLLJY" hidden="1">Addn #REF!</definedName>
    <definedName name="BExQBY1CRDVJQUXD8WTG2HO8S4YY" hidden="1">SEU Func #REF!</definedName>
    <definedName name="BExQC1SAIBSAVSD80NWIIEFTRS3Y" hidden="1">Functional #REF!</definedName>
    <definedName name="BExQC4HFIQGF0THKO9JUJ176I5VA" hidden="1">Addn #REF!</definedName>
    <definedName name="BExQC64OAI7X1A7H5G4EY9HZ49MV" hidden="1">#REF!</definedName>
    <definedName name="BExQCE7ZNNHRB6G2DUALPAL71S7T" hidden="1">Functional #REF!</definedName>
    <definedName name="BExQDBHMVN97D3TGXA85E63CUF4N" hidden="1">Functional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hidden="1">Addn #REF!</definedName>
    <definedName name="BExQF8PX3T0UZ31CITIWEECBCOAL" hidden="1">Functional #REF!</definedName>
    <definedName name="BExQF9M8VIR56ZOVRGEBOWN7GO00" hidden="1">SEU Func #REF!</definedName>
    <definedName name="BExQFGNXSCIRLDX9X8H4IFN7BU6G" hidden="1">Addn #REF!</definedName>
    <definedName name="BExQFJNSW29Z2GQS47388QSKTAUO" hidden="1">SCG Func #REF!</definedName>
    <definedName name="BExQGCVQ27XJRQKLCQK0I6SYJE7A" hidden="1">Addn #REF!</definedName>
    <definedName name="BExQH3EIE5OI9AO9NWINKTO0YUUD" hidden="1">Addn #REF!</definedName>
    <definedName name="BExQHFJJZ453I91O5R4SDT3R49II" hidden="1">SEU Driver by Func #REF!</definedName>
    <definedName name="BExQHZMB7G35XFLCF1VPENGXTKW0" hidden="1">Addn #REF!</definedName>
    <definedName name="BExQI02KWITK4JLIL36ZOHLBKGOI" hidden="1">SCG Func #REF!</definedName>
    <definedName name="BExQIBRDPH5X5EPOQ8ANRD6ERSRY" hidden="1">SEU Func #REF!</definedName>
    <definedName name="BExQIJP8AMPRS9ZOFYPUX3QT9DCA" hidden="1">Functional #REF!</definedName>
    <definedName name="BExQJCMBSTIP2LZ3JXXJL7FSJSS8" hidden="1">#REF!</definedName>
    <definedName name="BExQJZ3KTKDHMDLW85FULTC2WAOQ" hidden="1">Addn #REF!</definedName>
    <definedName name="BExQK46ZM2Z2JWNYU3EBRZNRK5MJ" hidden="1">Functional #REF!</definedName>
    <definedName name="BExQKE31SV6EH8DAMJ4EKHYJ1P38" hidden="1">Financial &amp; Non-#REF!</definedName>
    <definedName name="BExQLT1AL7DPIH2ZF0N3ZYXJ1GHG" hidden="1">Addn #REF!</definedName>
    <definedName name="BExRZJTMRQ7D3UKMUG3FEBZ9YQQX" hidden="1">Addn #REF!</definedName>
    <definedName name="BExS0CW83OA5EKXM0L8HVKRWC1YA" hidden="1">Financial &amp; Non-#REF!</definedName>
    <definedName name="BExS0XVC7U1OIU7C1GPZRS02K0DW" hidden="1">Addn #REF!</definedName>
    <definedName name="BExS14WZRDFAFITC69DNKWQIIAQF" hidden="1">SEU Func #REF!</definedName>
    <definedName name="BExS15TDWNEFSC2K12R64B21U2ER" hidden="1">Functional #REF!</definedName>
    <definedName name="BExS1HNH5O7LQM1GGJD5FZBHMXIZ" hidden="1">Functional #REF!</definedName>
    <definedName name="BExS1THRUXZ3XVPW1XBQ0VHO9XZG" hidden="1">#REF!</definedName>
    <definedName name="BExS22HGR6D9MS67P2DUB6FX24ME" hidden="1">Addn #REF!</definedName>
    <definedName name="BExS27Q6D7DI1Q7103RY4N5FI5PJ" hidden="1">SEU Func #REF!</definedName>
    <definedName name="BExS2AFAU71CEY0E9IAK4MDRPQDP" hidden="1">SEU Driver #REF!</definedName>
    <definedName name="BExS2L7PYAVKNHNOB8UKRX2OUN1E" hidden="1">Addn #REF!</definedName>
    <definedName name="BExS2LD0JHQATS4KKDF08NLIQEAN" hidden="1">#REF!</definedName>
    <definedName name="BExS3GTXOY2FXN3KKUNPQ3ZKWQYD" hidden="1">Functional #REF!</definedName>
    <definedName name="BExS3IBWQW51YD19V9XINRZFT37D" hidden="1">SCG Func #REF!</definedName>
    <definedName name="BExS5E7O0CG4P3U6O2SO3KUCWN1X" hidden="1">SEU Func Area by #REF!</definedName>
    <definedName name="BExS5P5DSMPM6QC2J47S4OZBSBHC" hidden="1">Addn #REF!</definedName>
    <definedName name="BExS6BBUJZ443Z7JD9XISA4VZKCZ" hidden="1">Addn #REF!</definedName>
    <definedName name="BExS6L7WWB2AY9B9CRX0B8ZY9RA8" hidden="1">SEU Func #REF!</definedName>
    <definedName name="BExS71EJ95OT904Y464LA98EUX0O" hidden="1">SEU Driver #REF!</definedName>
    <definedName name="BExS74ZZJS8RDGXS0N33F8LO0AFI" hidden="1">Addn #REF!</definedName>
    <definedName name="BExS7676U1G43C4AGI7V2CFIXGKK" hidden="1">Addn #REF!</definedName>
    <definedName name="BExS7EQKJUS1O1G09IC8BBF8NRPS" hidden="1">Addn #REF!</definedName>
    <definedName name="BExS7LBYUQW02NWJUC50AL0QB0BC" hidden="1">Financial &amp; Non-#REF!</definedName>
    <definedName name="BExS7YTGMRL7M5AEAHTR6TGX3RR8" hidden="1">SEU Func #REF!</definedName>
    <definedName name="BExS847PDPFPGR9EP7XAP65DFG7M" hidden="1">[0]!SDGE Func #REF!</definedName>
    <definedName name="BExS85UYRGDWA1N1YMZMLPMIHY16" hidden="1">Functional #REF!</definedName>
    <definedName name="BExS8JHZR5RYMXHS2BZ2JA581YEQ" hidden="1">Addn #REF!</definedName>
    <definedName name="BExS8O55M4IV5UFZ5R62V7SLJ794" hidden="1">[0]!SDGE Func #REF!</definedName>
    <definedName name="BExS8YBZRN2SAB1Z0QWD4LTW9TDE" hidden="1">Functional #REF!</definedName>
    <definedName name="BExS92J2YMOU1BT56VOUDKZDW6A0" hidden="1">#REF!</definedName>
    <definedName name="BExS9GBD3ODEHQK243A1KHFPZYXP" hidden="1">Addn #REF!</definedName>
    <definedName name="BExS9MLY4GW7OKN0XXA2VQD67RGS" hidden="1">Addn #REF!</definedName>
    <definedName name="BExSA9360W0NPEKNF7C3CR2BIF43" hidden="1">#REF!</definedName>
    <definedName name="BExSA9JA5S47AC6EN7JNC33559GG" hidden="1">Addn #REF!</definedName>
    <definedName name="BExSAAABPYLIZ3RACZBIINEB79RU" hidden="1">SCG Func #REF!</definedName>
    <definedName name="BExSAJVMJRYEBRP8HQWAPVT0353Z" hidden="1">Addn #REF!</definedName>
    <definedName name="BExSAW5YGBMQXDRHNJ9VPN83LHSB" hidden="1">Functional #REF!</definedName>
    <definedName name="BExSAW5ZRWKHR68VG5SX1JML8SNU" hidden="1">Functional #REF!</definedName>
    <definedName name="BExSAWM3SJ0NQCZI3M5EFF951Z2K" hidden="1">Addn #REF!</definedName>
    <definedName name="BExSB1UZKPUMJUW88VY9HKCP4CFU" hidden="1">SEU Func #REF!</definedName>
    <definedName name="BExSBAP6KF35RVGGDKFOONVUDTGR" hidden="1">SCG Func #REF!</definedName>
    <definedName name="BExSE38VOP5A8ZMOW0LCZQMB29NN" hidden="1">SEU Driver by Func #REF!</definedName>
    <definedName name="BExSEAAHYKQPG6QN01IQZ5CUBS2K" hidden="1">#REF!</definedName>
    <definedName name="BExSEIZETXYIPL1RRGCTK4JXUNP0" hidden="1">Addn #REF!</definedName>
    <definedName name="BExSEV4BF77D27E3QM36R4SX620Q" hidden="1">SEU Func #REF!</definedName>
    <definedName name="BExSF9YBJY4NI59SIYVUVB0RHOF4" hidden="1">Functional #REF!</definedName>
    <definedName name="BExSFKFYRGFMQJN4JIPPK7PMC8LE" hidden="1">Functional #REF!</definedName>
    <definedName name="BExSFSJAMB7T9SL3A6XQO78A30PE" hidden="1">SEU Driver #REF!</definedName>
    <definedName name="BExSFY2ZNJ80BO8WBGH184HA98EK" hidden="1">SEU Func #REF!</definedName>
    <definedName name="BExSG4DJUVP24UH00G6C9BCFI6KA" hidden="1">Addn #REF!</definedName>
    <definedName name="BExSGJ7K26U35ER7JUE8V684SFCE" hidden="1">Financial &amp; Non-#REF!</definedName>
    <definedName name="BExSHBOKDMINRDJ7YNYDLKHU9GYY" hidden="1">[0]!SDGE Func #REF!</definedName>
    <definedName name="BExSHLVF6TPM309S368ESB5ZGZSP" hidden="1">SCG Func #REF!</definedName>
    <definedName name="BExSI4R6BJRHRQC9AWQ19WPYBQDS" hidden="1">Functional #REF!</definedName>
    <definedName name="BExTUGQR5U2JKKM690XNDR2KSDO9" hidden="1">Functional #REF!</definedName>
    <definedName name="BExTVC7NJZ78QFKT4X882RHJ46GJ" hidden="1">SEU Func #REF!</definedName>
    <definedName name="BExTW1DUQNAQI9BU8SWL2ICM9MMF" hidden="1">SEU Func #REF!</definedName>
    <definedName name="BExTW36RCD2KY1OEX83Q1U3Q7VEN" hidden="1">Functional #REF!</definedName>
    <definedName name="BExTWB4LY5OOB9M8R4ZRF0CDR8EK" hidden="1">Financial &amp; Non-#REF!</definedName>
    <definedName name="BExTWFX7M4DNJT01LA4G7CYKCU8O" hidden="1">#REF!</definedName>
    <definedName name="BExTWHVA529RIUNUTJC4YZRSYACS" hidden="1">Financial &amp; Non-#REF!</definedName>
    <definedName name="BExTXCQM8ASRFIRTKNOR4PRO5OQI" hidden="1">Addn #REF!</definedName>
    <definedName name="BExTXFL0HOBZ8ZB5R9T82PYHU5LD" hidden="1">Addn #REF!</definedName>
    <definedName name="BExTXI4TZTK03PE88UETNDSY061P" hidden="1">SEU Func #REF!</definedName>
    <definedName name="BExTXJS8SUGI8GKGKFEGIVUS6NL5" hidden="1">#REF!</definedName>
    <definedName name="BExTXLFIV4QC0KSIFAQHYBBHL6A7" hidden="1">Addn #REF!</definedName>
    <definedName name="BExTXO9YLF9CAC6Q4BUNFXBAI1YL" hidden="1">Financial &amp; Non-#REF!</definedName>
    <definedName name="BExTXSX81QFMW6EWWTT4O5BUXE8O" hidden="1">SEU Func Area by #REF!</definedName>
    <definedName name="BExTY2D1TYFKUGMS9CNKOTKEUAUO" hidden="1">SEU Driver by Func #REF!</definedName>
    <definedName name="BExTY8IBOV0WBKWN39KNO05GJANV" hidden="1">Addn #REF!</definedName>
    <definedName name="BExTYSL89HCHPV90LUSU3GFH5JUK" hidden="1">SEU Func #REF!</definedName>
    <definedName name="BExTYTSE5DS5GVCLLE99W0UOASUK" hidden="1">Addn #REF!</definedName>
    <definedName name="BExTYZS5UD8M7HDR9E0PODKMBZXD" hidden="1">Financial &amp; Non-#REF!</definedName>
    <definedName name="BExTZ6TNMOJ5PDJENKQE96SFGV3P" hidden="1">Functional #REF!</definedName>
    <definedName name="BExTZ9YUXERFPLEVBN6UFJC30OST" hidden="1">Addn #REF!</definedName>
    <definedName name="BExTZEWYX1YUP70BVYTBFGUX1SQE" hidden="1">SEU Driver by Func #REF!</definedName>
    <definedName name="BExU084V35HGS6L43SZTIDZFNNC1" hidden="1">#REF!</definedName>
    <definedName name="BExU0L0SX2FA3UOSERNA0FM3PEIH" hidden="1">Addn #REF!</definedName>
    <definedName name="BExU0Q4A10ERSVP7SWJI6U9PO2NP" hidden="1">Functional #REF!</definedName>
    <definedName name="BExU0S2G1O4WXMP72CEDPOXI142J" hidden="1">Functional #REF!</definedName>
    <definedName name="BExU1D71KFUC0C17OR6QOTK3HJJE" hidden="1">#REF!</definedName>
    <definedName name="BExU1JHM6ANRZOKY36E119FJC4EE" hidden="1">SEU Func #REF!</definedName>
    <definedName name="BExU1MXNQJK6TLTPYNJSJE001XMZ" hidden="1">Addn #REF!</definedName>
    <definedName name="BExU1UA1UGIHTJX2JD11TYO928EW" hidden="1">Functional #REF!</definedName>
    <definedName name="BExU28NRZOCQA8U63F8AUJ1Y7FK3" hidden="1">SEU Driver by Func #REF!</definedName>
    <definedName name="BExU2DWP55J27AU8B8CKOGIVB781" hidden="1">Financial &amp; Non-#REF!</definedName>
    <definedName name="BExU2DWP9UIV3GEL4Y02T4MV2ORF" hidden="1">SCG Func #REF!</definedName>
    <definedName name="BExU2F3W26ICAF3HJW9RPFGOKBR0" hidden="1">SEU Func #REF!</definedName>
    <definedName name="BExU2GB0KSJB3AT77LPHCUOU5GGE" hidden="1">Addn #REF!</definedName>
    <definedName name="BExU2J03V3XKK7J5ZX79DJ0LWT66" hidden="1">Addn #REF!</definedName>
    <definedName name="BExU2KY5O8EK97N17EDEE7A1FHP9" hidden="1">Addn #REF!</definedName>
    <definedName name="BExU31L47ZK7KE115K9FAOPVEQGD" hidden="1">#REF!</definedName>
    <definedName name="BExU3OT6VDS1Z4SCQYLJ3LJM2PR0" hidden="1">Addn #REF!</definedName>
    <definedName name="BExU3UYBXUBGYEE98K4TRVKL7FUB" hidden="1">SEU Func #REF!</definedName>
    <definedName name="BExU43CFUF0V3VK8GVI1Y949580S" hidden="1">#REF!</definedName>
    <definedName name="BExU56LU0ARL1LXF13CWGDIA0IN2" hidden="1">SEU Func #REF!</definedName>
    <definedName name="BExU5D78KSITYXG7VXZWPLK5G4N1" hidden="1">SEU Func Comm by #REF!</definedName>
    <definedName name="BExU6ENRRF42I7NS6GD7E2BA0239" hidden="1">SEU Driver by Func #REF!</definedName>
    <definedName name="BExU6V57YFEF7IX53EO6FG5WUSPF" hidden="1">Addn #REF!</definedName>
    <definedName name="BExU77QEPM7B7KZQXMTBVY6WPI9N" hidden="1">Addn #REF!</definedName>
    <definedName name="BExU7DA1VML3K8MECQFN7LISYU1X" hidden="1">[0]!SDGE Func #REF!</definedName>
    <definedName name="BExU7QM3TKX82E55OPIJYI4ORP5C" hidden="1">SEU Driver #REF!</definedName>
    <definedName name="BExU7TM1QUXVHZ7XMK0634JNVF0L" hidden="1">Addn #REF!</definedName>
    <definedName name="BExU8OMN749NYEAOHVZEJ8P8DMPH" hidden="1">SCG Func #REF!</definedName>
    <definedName name="BExU9NP18YOLSAUDJSCMGUB5Z118" hidden="1">Financial &amp; Non-#REF!</definedName>
    <definedName name="BExUAEINE7CLGS8QF9K19THYYNAW" hidden="1">Addn #REF!</definedName>
    <definedName name="BExUAJM318DD50UGPK19FVC5IXPH" hidden="1">SEU Driver by Func #REF!</definedName>
    <definedName name="BExUAK7MK6RBQT5QZEERWMC3TKOK" hidden="1">#REF!</definedName>
    <definedName name="BExUBMQ291WKF53PLYYX5DET9GEY" hidden="1">Addn #REF!</definedName>
    <definedName name="BExUBPKGJ2HZG9P75M6T3ET52BNI" hidden="1">Financial &amp; Non-#REF!</definedName>
    <definedName name="BExUC20BWOTFQRDYY9IQ2FW6VB71" hidden="1">#REF!</definedName>
    <definedName name="BExUCJOV56HL5GHC911I59CMVU3Y" hidden="1">Addn #REF!</definedName>
    <definedName name="BExUCXBQTG7WOKZJK4UA33YGMSAL" hidden="1">Addn #REF!</definedName>
    <definedName name="BExUD77T5KGV1KMCMJKLTUEIUBOT" hidden="1">#REF!</definedName>
    <definedName name="BExUDHENQG3NPBADHSVALH1OMEQS" hidden="1">Addn #REF!</definedName>
    <definedName name="BExVQLKII6YMTL20HLVTBTSXKPRG" hidden="1">SEU Func #REF!</definedName>
    <definedName name="BExVR1GBDWIUZT0CFSN1CU5XTQHZ" hidden="1">SEU Driver #REF!</definedName>
    <definedName name="BExVRN15PJ1BT548WRJVE7PWW77Q" hidden="1">SEU Driver #REF!</definedName>
    <definedName name="BExVS0O0VVK0BLMC0WX8X4S7H30F" hidden="1">#REF!</definedName>
    <definedName name="BExVSQL9TJX91PI5EL0NPQ663IV1" hidden="1">Financial &amp; Non-#REF!</definedName>
    <definedName name="BExVSVJD23KTXSSLOWR4ELAVFUU4" hidden="1">Addn #REF!</definedName>
    <definedName name="BExVSX6LRY95YK28YB787Z62GSU8" hidden="1">SEU Func Comm by #REF!</definedName>
    <definedName name="BExVTUR2AONP0W51JBNV7ULISXSW" hidden="1">SEU Driver by Func #REF!</definedName>
    <definedName name="BExVVO37O040HEMW9DCWKFR2IZ8X" hidden="1">SCG Func #REF!</definedName>
    <definedName name="BExVVUTVHOGT5W5F5S9FSPT85DME" hidden="1">#REF!</definedName>
    <definedName name="BExVVY4MDQYOKD5KO5OE78CX0FQT" hidden="1">Addn #REF!</definedName>
    <definedName name="BExVW8WZZ8D43QOE36ETTY1C4U0N" hidden="1">Functional #REF!</definedName>
    <definedName name="BExVWG3ZF46Q1Y5LMBY96EBCWCTQ" hidden="1">SCG Func #REF!</definedName>
    <definedName name="BExVXXLTLVPMHQ9YGP6F4NAE8XAF" hidden="1">Addn #REF!</definedName>
    <definedName name="BExVY1Y7IYT1CYLYSQVAOOFYYFEE" hidden="1">Functional #REF!</definedName>
    <definedName name="BExVZ2IIM7NJ0FNJL35T3IPB09RQ" hidden="1">SEU Driver #REF!</definedName>
    <definedName name="BExVZ7B4Y2NRBJYTDLC11BS9VK05" hidden="1">#REF!</definedName>
    <definedName name="BExVZESVRS1MAPCRIBHZSABWSDTM" hidden="1">Addn 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hidden="1">Addn #REF!</definedName>
    <definedName name="BExW0Y3IHF05N34WK2LSEDEKZBI2" hidden="1">SEU Func #REF!</definedName>
    <definedName name="BExW24NI3G8UBLYOJI2IFS2TXOQH" hidden="1">SEU Func Comm by #REF!</definedName>
    <definedName name="BExW2J1E62XAYXRG0MHY22YU9G5N" hidden="1">Addn #REF!</definedName>
    <definedName name="BExW2UFE0VTQ4GMXB3NKWB0MLQS2" hidden="1">Addn #REF!</definedName>
    <definedName name="BExW2UFES6ZEQ4GZO08U2R6SACB5" hidden="1">Functional #REF!</definedName>
    <definedName name="BExW3A0GVMR7W0IG3FAG61PO39UY" hidden="1">Addn #REF!</definedName>
    <definedName name="BExW3L3P8RSX64V6RKZLOXJJQFKC" hidden="1">SCG Func #REF!</definedName>
    <definedName name="BExW3L8ZM2FIDYWWS285ZDN4MQL0" hidden="1">Addn #REF!</definedName>
    <definedName name="BExW444QYWE12XOFBRD40G87G4B6" hidden="1">SEU Driver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hidden="1">SEU Driver by Func #REF!</definedName>
    <definedName name="BExW54E9II3BY15VSHF7D3QBL21K" hidden="1">Financial &amp; Non-#REF!</definedName>
    <definedName name="BExW5852TSTSER7SLK4K2SCHR7OI" hidden="1">SEU Driver by Func #REF!</definedName>
    <definedName name="BExW5DU3OT1XDXRYH812SSKSXGYZ" hidden="1">SEU Func #REF!</definedName>
    <definedName name="BExW5JOFZQ8GVHZD0EYGMA89L796" hidden="1">[0]!SDGE Func #REF!</definedName>
    <definedName name="BExW5KA49ULVKQYGWVHCIO5NLJH7" hidden="1">SEU Func #REF!</definedName>
    <definedName name="BExW6CGDVD0IID1G10TDJ1217F1J" hidden="1">SEU Driver #REF!</definedName>
    <definedName name="BExW78IQJ28QVTSPSF5RYF00RH9O" hidden="1">Addn #REF!</definedName>
    <definedName name="BExW7BTDV3ZL43N2KQOYFU5ZWJA3" hidden="1">Addn #REF!</definedName>
    <definedName name="BExW7O93FSQL8845022ZCTYK15YJ" hidden="1">Addn #REF!</definedName>
    <definedName name="BExW7PWHSLWGW4W6OL1OOBKSRXZW" hidden="1">Addn #REF!</definedName>
    <definedName name="BExW7R3NRPHWT1H6S9GFSWLTPPUX" hidden="1">SEU Func #REF!</definedName>
    <definedName name="BExW7SG4VF01KVUX3XETXJ0WWXBB" hidden="1">SEU Func Comm by #REF!</definedName>
    <definedName name="BExW851AJ4QQF2BY08FCPG1W9TC3" hidden="1">Functional #REF!</definedName>
    <definedName name="BExW8MPWKRBZZMXL13XW0M8MVU6A" hidden="1">#REF!</definedName>
    <definedName name="BExXMMY7K9SSUZ9P15Q89ZHBQCF8" hidden="1">SEU Func Comm by #REF!</definedName>
    <definedName name="BExXMXQMM8TNOSCG4JONY8VFM2EE" hidden="1">Addn #REF!</definedName>
    <definedName name="BExXN0QHOOGNVJHEF6QL4ET2POZD" hidden="1">[0]!SDGE Func #REF!</definedName>
    <definedName name="BExXN2J967PTBZGVGUY8NLKS24TR" hidden="1">Addn #REF!</definedName>
    <definedName name="BExXN6QAKZ8C2F980ATAL486VR2V" hidden="1">SEU Driver by Func #REF!</definedName>
    <definedName name="BExXNBIYGBD8KCL4FI2BMF80ENYA" hidden="1">Addn #REF!</definedName>
    <definedName name="BExXODFQWNNQHXCPLVEYEY4VOBS7" hidden="1">#REF!</definedName>
    <definedName name="BExXOGKYWK9ZP3F4MUJAVZN2JRO7" hidden="1">Addn #REF!</definedName>
    <definedName name="BExXOS9R341ND4H1POY8R4EQJ7SO" hidden="1">#REF!</definedName>
    <definedName name="BExXOV4CEVAER3X96DRN4HH4BZHR" hidden="1">Addn #REF!</definedName>
    <definedName name="BExXPFY5OVLL3K2K90TA90XRYLM6" hidden="1">Addn #REF!</definedName>
    <definedName name="BExXPM8Q4BZDPOJ7U58824CNL7J9" hidden="1">Financial &amp; Non-#REF!</definedName>
    <definedName name="BExXPQAGQFSDEYV65RS08JVXQYYP" hidden="1">SEU Func #REF!</definedName>
    <definedName name="BExXPRHMPBRCHUUJLBSARDLRE22E" hidden="1">Functional #REF!</definedName>
    <definedName name="BExXPV2Z6XDCZ280IE8KLAHDFJA1" hidden="1">Addn #REF!</definedName>
    <definedName name="BExXPZ9ZF0LRZ3ZR6Y1DLV8HTHWV" hidden="1">Addn #REF!</definedName>
    <definedName name="BExXRVM147SVXBLKLP710R2MO5MZ" hidden="1">Functional #REF!</definedName>
    <definedName name="BExXS4R2128DFU2LK3Q08XJ48S42" hidden="1">Addn #REF!</definedName>
    <definedName name="BExXS98VZGW8QG56DGEJHU0JCJJZ" hidden="1">SEU Func #REF!</definedName>
    <definedName name="BExXSH1EUOGXZIWDTB34ZHBBPLMB" hidden="1">Financial &amp; Non-#REF!</definedName>
    <definedName name="BExXSHHIMRQF6S8HC1AZXUGDWXY4" hidden="1">Addn #REF!</definedName>
    <definedName name="BExXT7PP94GE3YW5BGV4U6HWCSPX" hidden="1">SEU Driver #REF!</definedName>
    <definedName name="BExXU7IY0NW19P11Z5YQ9BQIJSF3" hidden="1">Financial &amp; Non-#REF!</definedName>
    <definedName name="BExXUAIVBR3PR1QHJCUT03VW15Z3" hidden="1">#REF!</definedName>
    <definedName name="BExXUCX7X7M52508UFQKPKXBD9HV" hidden="1">[0]!SDGE Func #REF!</definedName>
    <definedName name="BExXUDIQYO3NFEXLUKKBXFGL0I0J" hidden="1">SEU Func #REF!</definedName>
    <definedName name="BExXV1SL2OKDY5I58V7R2CZ6UA1P" hidden="1">Addn #REF!</definedName>
    <definedName name="BExXVYBBSBUSE5YCGR0CV4FQE3PC" hidden="1">Financial &amp; Non-#REF!</definedName>
    <definedName name="BExXW5NLB1XHUSNQW6YWXBK0FT19" hidden="1">Addn #REF!</definedName>
    <definedName name="BExXW93RS0IWAZRQ9SOWQXERPYYZ" hidden="1">Functional #REF!</definedName>
    <definedName name="BExXXC28UJZ8MBCQMEGVPHY4ELL2" hidden="1">Addn #REF!</definedName>
    <definedName name="BExXXLSZ3ABSM127FWVROEVGA4AY" hidden="1">#REF!</definedName>
    <definedName name="BExXXZ52JFPBQNR4WBNEGUSKAOTN" hidden="1">SEU Driver by Func #REF!</definedName>
    <definedName name="BExXYEVFU1HGZQVTNU9QVRVA90FT" hidden="1">Addn #REF!</definedName>
    <definedName name="BExXYT9CBE76MDZW4OQUDY1SEKNE" hidden="1">Functional #REF!</definedName>
    <definedName name="BExXYTK4Y0UMB5113GMQ1F9ETUD2" hidden="1">Addn #REF!</definedName>
    <definedName name="BExXZ3QYMWB5DEHAXEQ77MZ7FIZD" hidden="1">[0]!SDGE Func #REF!</definedName>
    <definedName name="BExXZAXW8F8841455G1F7WXT41AX" hidden="1">[0]!SDGE Func #REF!</definedName>
    <definedName name="BExXZNDLULS7L6GBKG9RU9OGHK9B" hidden="1">Addn #REF!</definedName>
    <definedName name="BExXZWO3RC1R45A9M41GS6LPG2YW" hidden="1">Addn #REF!</definedName>
    <definedName name="BExXZZTG1JTLYWJOFNYTGR4LALK3" hidden="1">Addn #REF!</definedName>
    <definedName name="BExY0C3TNRDQV0J5SI0Q7GLE70KV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hidden="1">[0]!SDGE Func #REF!</definedName>
    <definedName name="BExY2BVVO6QDY0L06G3J0MSGEXD8" hidden="1">[0]!SDGE Func #REF!</definedName>
    <definedName name="BExY2EKSYYHFY4AFZ300ZXMLRXQY" hidden="1">Financial &amp; Non-#REF!</definedName>
    <definedName name="BExY2NKIEE5SPBOV26RNCSKNGTME" hidden="1">Addn #REF!</definedName>
    <definedName name="BExY2NKIMXF1J464XZ175PYA8LDM" hidden="1">SEU Func #REF!</definedName>
    <definedName name="BExY36AXKUMLUKD2VOB5XR70DGDI" hidden="1">SEU Func #REF!</definedName>
    <definedName name="BExY3SXH7FESHTF7PBA3OYIXDH41" hidden="1">#REF!</definedName>
    <definedName name="BExY3WZ2QMSYT0BFBVQJIAPCHAQ1" hidden="1">Addn #REF!</definedName>
    <definedName name="BExY3ZO5J0Z7QKACQUINFDZTRS77" hidden="1">Addn #REF!</definedName>
    <definedName name="BExY48TCAQ2A1XRZ3RVHC0U8VYKQ" hidden="1">SEU Func Comm by #REF!</definedName>
    <definedName name="BExY58MMH9D4SBZCD1RWGTYBRDM8" hidden="1">#REF!</definedName>
    <definedName name="BExY5I7UKXBU395LXGBYD7PJ7IH3" hidden="1">SEU Func #REF!</definedName>
    <definedName name="BExY60SU3PW0FE2YOFC1CR5A86CH" hidden="1">SEU Driver #REF!</definedName>
    <definedName name="BExY63SR27VPDZPXZK9KJCGTZ4TC" hidden="1">Addn #REF!</definedName>
    <definedName name="BExY65LH73RB4VC5HW4RHGQ2KU8G" hidden="1">#REF!</definedName>
    <definedName name="BExY65LHY7ALMYBRAOKCXSFRLNEE" hidden="1">Addn #REF!</definedName>
    <definedName name="BExZJQJI3TXMZTVPYBBJ0JI1C5LL" hidden="1">#REF!</definedName>
    <definedName name="BExZKA64CRCRYCU4JL6TH6AWM96S" hidden="1">Addn #REF!</definedName>
    <definedName name="BExZKCPZD3M8NAZFUDJRYJ5OTIVJ" hidden="1">Functional #REF!</definedName>
    <definedName name="BExZKR3TTP07CE2NJKPT664GAJBL" hidden="1">Addn #REF!</definedName>
    <definedName name="BExZL1LBSYTGVKE79Y97OBLA0SV6" hidden="1">SEU Driver #REF!</definedName>
    <definedName name="BExZLBC2PT5BA4MTL92QWIJ2AGNH" hidden="1">SCG Func #REF!</definedName>
    <definedName name="BExZLUD4NEJMBSGQ93R045ELX10G" hidden="1">SEU Driver #REF!</definedName>
    <definedName name="BExZLX7QQ1MWG33LCZU8LVADH6MW" hidden="1">Addn #REF!</definedName>
    <definedName name="BExZM07LCOTZXP3AS4WC2J3NTE7P" hidden="1">SCG Func #REF!</definedName>
    <definedName name="BExZM7JVUMCAARUACRX7Z54WSG33" hidden="1">SEU Driver by Func #REF!</definedName>
    <definedName name="BExZMIN2YY9W3WI8OAVQ37PKQZXZ" hidden="1">SCG Func #REF!</definedName>
    <definedName name="BExZMQKY0YONB7YBTBQZH62T9MSU" hidden="1">[0]!SDGE Func #REF!</definedName>
    <definedName name="BExZMQVWL07SCJOOFZWV45W59W8P" hidden="1">Addn #REF!</definedName>
    <definedName name="BExZMXXD1Y91UP1BZXET9AXX4JII" hidden="1">Addn #REF!</definedName>
    <definedName name="BExZN3X5WR9FLDRBMX48BRRVYSL4" hidden="1">Functional #REF!</definedName>
    <definedName name="BExZNI0B4ZBV0GKJNGZKFKJP5RSC" hidden="1">Addn #REF!</definedName>
    <definedName name="BExZNSN8EOTXU3NPY0CH5POL7VHK" hidden="1">[0]!SDGE Func #REF!</definedName>
    <definedName name="BExZO0FQOS0A6MKLLZK71QNUN7MD" hidden="1">#REF!</definedName>
    <definedName name="BExZO64RDT6SCKXP96BLAVKAG3PC" hidden="1">Financial &amp; Non-#REF!</definedName>
    <definedName name="BExZOHYVOLL7CEQKABKO256H0X5I" hidden="1">SEU Func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hidden="1">Addn #REF!</definedName>
    <definedName name="BExZPL8B3I1BIDUU7TG45FWCOYDZ" hidden="1">Addn #REF!</definedName>
    <definedName name="BExZPPVI1XTMHMZCVAPNZF9PF7DJ" hidden="1">#REF!</definedName>
    <definedName name="BExZPW0QM46H23LHKN8SUH8HX6MW" hidden="1">SEU Driver #REF!</definedName>
    <definedName name="BExZQ85NBN2EU2ZRQLIZ0PVW0MYW" hidden="1">#REF!</definedName>
    <definedName name="BExZQ8R77M02QC6H0KAB5KDZXXUB" hidden="1">Addn #REF!</definedName>
    <definedName name="BExZQAURJGFEVTH5WDUKCLX5OG4A" hidden="1">SEU Driver by Func #REF!</definedName>
    <definedName name="BExZQBAVLSDITVZABQBUSIONFI27" hidden="1">SEU Func Area by #REF!</definedName>
    <definedName name="BExZQI1P0I178HRXOOPNWFAS2VIA" hidden="1">Addn #REF!</definedName>
    <definedName name="BExZQIHZQHMHTKFP59DZJH4ZZZ8M" hidden="1">Financial &amp; Non-#REF!</definedName>
    <definedName name="BExZQP8NTJXT3ICCJ063MLH8R2DJ" hidden="1">Addn #REF!</definedName>
    <definedName name="BExZQQ50WUMM8VB4VUHAS899QSKM" hidden="1">Functional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hidden="1">[0]!SDGE Func #REF!</definedName>
    <definedName name="BExZSK81EL5HVZ4OMYKFQTE2AHH7" hidden="1">SCG Func #REF!</definedName>
    <definedName name="BExZSMBLFJUAETWYUF2BWVQLJY3M" hidden="1">Addn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hidden="1">Addn #REF!</definedName>
    <definedName name="BExZWB8JK798ELJ571MPH730R8L2" hidden="1">Addn #REF!</definedName>
    <definedName name="BExZWF4UI7RVJ13R324EGACALMPV" hidden="1">SEU Func #REF!</definedName>
    <definedName name="BExZWMXBV8BPWJ3LCUYF7NKKPVOD" hidden="1">Addn #REF!</definedName>
    <definedName name="BExZXBSVAPBHW1XT1TBS81NYDSMU" hidden="1">SEU Driver by Func #REF!</definedName>
    <definedName name="BExZXC901CXXL8R9X8S9WEQN00CY" hidden="1">[0]!SDGE Func #REF!</definedName>
    <definedName name="BExZXFJNR29TXZ23G7D8IOQKJC6N" hidden="1">#REF!</definedName>
    <definedName name="BExZXW12MHM5C60916XT6CZRSL4I" hidden="1">SEU Func #REF!</definedName>
    <definedName name="BExZY0Z27CDKC1VBMKTHN76QQ5HH" hidden="1">SEU Func #REF!</definedName>
    <definedName name="BExZY2MHNMJG69CJQF6CLG6X4FGQ" hidden="1">Addn #REF!</definedName>
    <definedName name="BExZYTLJPA30ZEL7XLOBQL25QCR9" hidden="1">Addn #REF!</definedName>
    <definedName name="BExZZ06XR7L2B6NK62DRT95GUSPY" hidden="1">Addn #REF!</definedName>
    <definedName name="BExZZ8FJDLK9Y296DUJ16REILSZN" hidden="1">SEU Driver #REF!</definedName>
    <definedName name="BExZZSYK2WCS5ZY430FJ0E56O3BG" hidden="1">SCG Func #REF!</definedName>
    <definedName name="BG_Del" hidden="1">15</definedName>
    <definedName name="BG_Ins" hidden="1">4</definedName>
    <definedName name="BG_Mod" hidden="1">6</definedName>
    <definedName name="CBWorkbookPriority" hidden="1">-21190210</definedName>
    <definedName name="cccc" hidden="1">{"variance_page",#N/A,FALSE,"template"}</definedName>
    <definedName name="ccccccc" hidden="1">{"SourcesUses",#N/A,TRUE,#N/A;"TransOverview",#N/A,TRUE,"CFMODEL"}</definedName>
    <definedName name="ccccccccccccccc" hidden="1">{"SourcesUses",#N/A,TRUE,"FundsFlow";"TransOverview",#N/A,TRUE,"FundsFlow"}</definedName>
    <definedName name="CEI_Info1" hidden="1">#REF!</definedName>
    <definedName name="CORPTAX_DATAMAPDEFINITIONS_DataMap_1" hidden="1">#REF!</definedName>
    <definedName name="CORPTAX_DATAMAPDEFINITIONS_DataMap_2" hidden="1">#REF!</definedName>
    <definedName name="CreditStats" hidden="1">#REF!</definedName>
    <definedName name="CurrentRangeName" hidden="1">#REF!</definedName>
    <definedName name="d" localSheetId="17" hidden="1">{#N/A,#N/A,TRUE,"SDGE";#N/A,#N/A,TRUE,"GBU";#N/A,#N/A,TRUE,"TBU";#N/A,#N/A,TRUE,"EDBU";#N/A,#N/A,TRUE,"ExclCC"}</definedName>
    <definedName name="d" localSheetId="20" hidden="1">{#N/A,#N/A,TRUE,"SDGE";#N/A,#N/A,TRUE,"GBU";#N/A,#N/A,TRUE,"TBU";#N/A,#N/A,TRUE,"EDBU";#N/A,#N/A,TRUE,"ExclCC"}</definedName>
    <definedName name="d" localSheetId="37" hidden="1">{#N/A,#N/A,TRUE,"SDGE";#N/A,#N/A,TRUE,"GBU";#N/A,#N/A,TRUE,"TBU";#N/A,#N/A,TRUE,"EDBU";#N/A,#N/A,TRUE,"ExclCC"}</definedName>
    <definedName name="d" localSheetId="38" hidden="1">{#N/A,#N/A,TRUE,"SDGE";#N/A,#N/A,TRUE,"GBU";#N/A,#N/A,TRUE,"TBU";#N/A,#N/A,TRUE,"EDBU";#N/A,#N/A,TRUE,"ExclCC"}</definedName>
    <definedName name="d" localSheetId="42" hidden="1">{#N/A,#N/A,TRUE,"SDGE";#N/A,#N/A,TRUE,"GBU";#N/A,#N/A,TRUE,"TBU";#N/A,#N/A,TRUE,"EDBU";#N/A,#N/A,TRUE,"ExclCC"}</definedName>
    <definedName name="d" localSheetId="53" hidden="1">{#N/A,#N/A,TRUE,"SDGE";#N/A,#N/A,TRUE,"GBU";#N/A,#N/A,TRUE,"TBU";#N/A,#N/A,TRUE,"EDBU";#N/A,#N/A,TRUE,"ExclCC"}</definedName>
    <definedName name="d" localSheetId="4" hidden="1">{#N/A,#N/A,TRUE,"SDGE";#N/A,#N/A,TRUE,"GBU";#N/A,#N/A,TRUE,"TBU";#N/A,#N/A,TRUE,"EDBU";#N/A,#N/A,TRUE,"ExclCC"}</definedName>
    <definedName name="d" localSheetId="58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CHART4" localSheetId="17" hidden="1">#REF!</definedName>
    <definedName name="DCHART4" localSheetId="34" hidden="1">#REF!</definedName>
    <definedName name="DCHART4" localSheetId="53" hidden="1">#REF!</definedName>
    <definedName name="DCHART4" localSheetId="5" hidden="1">#REF!</definedName>
    <definedName name="DCHART4" hidden="1">#REF!</definedName>
    <definedName name="dd" localSheetId="34" hidden="1">#REF!</definedName>
    <definedName name="dd" localSheetId="53" hidden="1">#REF!</definedName>
    <definedName name="dd" localSheetId="5" hidden="1">#REF!</definedName>
    <definedName name="dd" hidden="1">#REF!</definedName>
    <definedName name="ddd" hidden="1">{"SourcesUses",#N/A,TRUE,#N/A;"TransOverview",#N/A,TRUE,"CFMODEL"}</definedName>
    <definedName name="dddd" localSheetId="34" hidden="1">#REF!</definedName>
    <definedName name="dddd" localSheetId="53" hidden="1">#REF!</definedName>
    <definedName name="dddd" localSheetId="5" hidden="1">#REF!</definedName>
    <definedName name="dddd" hidden="1">#REF!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f" hidden="1">{"2002Frcst","06Month",FALSE,"Frcst Format 2002"}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Z.IndSpec_Left" hidden="1">#REF!</definedName>
    <definedName name="DZ.IndSpec_Right" hidden="1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v.Calculation" hidden="1">-4105</definedName>
    <definedName name="ev.Initialized" hidden="1">FALSE</definedName>
    <definedName name="EV__LASTREFTIME__" hidden="1">39504.3191203704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letes" hidden="1">{#N/A,#N/A,FALSE,"Aging Summary";#N/A,#N/A,FALSE,"Ratio Analysis";#N/A,#N/A,FALSE,"Test 120 Day Accts";#N/A,#N/A,FALSE,"Tickmarks"}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hhh" hidden="1">{"SourcesUses",#N/A,TRUE,#N/A;"TransOverview",#N/A,TRUE,"CFMODEL"}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YearLabel" hidden="1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TML_Control" localSheetId="17" hidden="1">{"'Attachment'!$A$1:$L$49"}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HTML_Email" localSheetId="17" hidden="1">"dsullivan@sdge.com"</definedName>
    <definedName name="HTML_Header" localSheetId="17" hidden="1">"SRAC"</definedName>
    <definedName name="HTML_LastUpdate" localSheetId="17" hidden="1">"04/01/2002"</definedName>
    <definedName name="HTML_LineAfter" localSheetId="17" hidden="1">TRUE</definedName>
    <definedName name="HTML_LineBefore" localSheetId="17" hidden="1">TRUE</definedName>
    <definedName name="HTML_Name" localSheetId="17" hidden="1">"Daniel L. Sullivan"</definedName>
    <definedName name="HTML_PathFile" localSheetId="17" hidden="1">"S:\FUELS\DATA\SULLIVAN\DATA\Srac Spreadsheet\FILING\2002\SracHTML\Srac0402.htm"</definedName>
    <definedName name="HTML_Title" localSheetId="17" hidden="1">"April 2002 SRAC Prices"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sColHidden" hidden="1">FALSE</definedName>
    <definedName name="IsLTMColHidden" hidden="1">FALSE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ly2007" hidden="1">{"2002Frcst","06Month",FALSE,"Frcst Format 2002"}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k" hidden="1">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LandCost" hidden="1">#REF!</definedName>
    <definedName name="LastRangeName" hidden="1">#REF!</definedName>
    <definedName name="limcount" hidden="1">1</definedName>
    <definedName name="ListOffset" hidden="1">1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ly__IRR__Dates" hidden="1">#REF!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wrev" hidden="1">{#N/A,#N/A,TRUE,"SDGE";#N/A,#N/A,TRUE,"GBU";#N/A,#N/A,TRUE,"TBU";#N/A,#N/A,TRUE,"EDBU";#N/A,#N/A,TRUE,"ExclCC"}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hidden="1">{"total_10yr",#N/A,FALSE,"Data (t8-t4)"}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pt_Error_Checker" hidden="1">#REF!</definedName>
    <definedName name="Opt_Flip_0" hidden="1">#REF!</definedName>
    <definedName name="Optimizer__NPV1" hidden="1">#REF!</definedName>
    <definedName name="Optimizer__Target1" hidden="1">#REF!</definedName>
    <definedName name="otherrev" localSheetId="17" hidden="1">{#N/A,#N/A,TRUE,"SDGE";#N/A,#N/A,TRUE,"GBU";#N/A,#N/A,TRUE,"TBU";#N/A,#N/A,TRUE,"EDBU";#N/A,#N/A,TRUE,"ExclCC"}</definedName>
    <definedName name="otherrev" localSheetId="20" hidden="1">{#N/A,#N/A,TRUE,"SDGE";#N/A,#N/A,TRUE,"GBU";#N/A,#N/A,TRUE,"TBU";#N/A,#N/A,TRUE,"EDBU";#N/A,#N/A,TRUE,"ExclCC"}</definedName>
    <definedName name="otherrev" localSheetId="37" hidden="1">{#N/A,#N/A,TRUE,"SDGE";#N/A,#N/A,TRUE,"GBU";#N/A,#N/A,TRUE,"TBU";#N/A,#N/A,TRUE,"EDBU";#N/A,#N/A,TRUE,"ExclCC"}</definedName>
    <definedName name="otherrev" localSheetId="38" hidden="1">{#N/A,#N/A,TRUE,"SDGE";#N/A,#N/A,TRUE,"GBU";#N/A,#N/A,TRUE,"TBU";#N/A,#N/A,TRUE,"EDBU";#N/A,#N/A,TRUE,"ExclCC"}</definedName>
    <definedName name="otherrev" localSheetId="42" hidden="1">{#N/A,#N/A,TRUE,"SDGE";#N/A,#N/A,TRUE,"GBU";#N/A,#N/A,TRUE,"TBU";#N/A,#N/A,TRUE,"EDBU";#N/A,#N/A,TRUE,"ExclCC"}</definedName>
    <definedName name="otherrev" localSheetId="53" hidden="1">{#N/A,#N/A,TRUE,"SDGE";#N/A,#N/A,TRUE,"GBU";#N/A,#N/A,TRUE,"TBU";#N/A,#N/A,TRUE,"EDBU";#N/A,#N/A,TRUE,"ExclCC"}</definedName>
    <definedName name="otherrev" localSheetId="4" hidden="1">{#N/A,#N/A,TRUE,"SDGE";#N/A,#N/A,TRUE,"GBU";#N/A,#N/A,TRUE,"TBU";#N/A,#N/A,TRUE,"EDBU";#N/A,#N/A,TRUE,"ExclCC"}</definedName>
    <definedName name="otherrev" localSheetId="58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HILIPS" hidden="1">{#N/A,#N/A,FALSE,"RECAP";#N/A,#N/A,FALSE,"MATBYCLS";#N/A,#N/A,FALSE,"STATUS";#N/A,#N/A,FALSE,"OP-ACT";#N/A,#N/A,FALSE,"W_O"}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rcc22" hidden="1">#REF!</definedName>
    <definedName name="prcc23" hidden="1">#REF!</definedName>
    <definedName name="_xlnm.Print_Area" localSheetId="37">'AG-1'!$A$1:$E$32</definedName>
    <definedName name="_xlnm.Print_Area" localSheetId="50">'AL-1'!$A$1:$E$38</definedName>
    <definedName name="_xlnm.Print_Area" localSheetId="48">'Stmt AK'!$A$1:$H$47</definedName>
    <definedName name="problem" hidden="1">{#N/A,#N/A,FALSE,"trates"}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rt" hidden="1">{"'Attachment'!$A$1:$L$49"}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FALSE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samasra" hidden="1">{#N/A,#N/A,TRUE,"SDGE";#N/A,#N/A,TRUE,"GBU";#N/A,#N/A,TRUE,"TBU";#N/A,#N/A,TRUE,"EDBU";#N/A,#N/A,TRUE,"ExclCC"}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43" hidden="1">"3HLUHWD7UCRUUESL6DDMKVCIX"</definedName>
    <definedName name="SAPBEXwbID" localSheetId="48" hidden="1">"3HLUHWD7UCRUUESL6DDMKVCIX"</definedName>
    <definedName name="SAPBEXwbID" localSheetId="52" hidden="1">"3OI398WBFRH41IFEVHKOMVZ17"</definedName>
    <definedName name="SAPBEXwbID" localSheetId="54" hidden="1">"3OI398WBFRH41IFEVHKOMVZ17"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dafsadf" hidden="1">{#N/A,#N/A,FALSE,"Aging Summary";#N/A,#N/A,FALSE,"Ratio Analysis";#N/A,#N/A,FALSE,"Test 120 Day Accts";#N/A,#N/A,FALSE,"Tickmarks"}</definedName>
    <definedName name="sencount" hidden="1">1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pFor" hidden="1">#REF!</definedName>
    <definedName name="SpFor15" hidden="1">#REF!</definedName>
    <definedName name="SpFor22" hidden="1">#REF!</definedName>
    <definedName name="sss" hidden="1">{"SourcesUses",#N/A,TRUE,#N/A;"TransOverview",#N/A,TRUE,"CFMODEL"}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e1_Check" hidden="1">#REF!</definedName>
    <definedName name="Table1_Store1_Description" hidden="1">#REF!</definedName>
    <definedName name="Target1__IRR" hidden="1">#REF!</definedName>
    <definedName name="Target2__IRR" hidden="1">#REF!</definedName>
    <definedName name="TDM" hidden="1">{#N/A,#N/A,FALSE,"Aging Summary";#N/A,#N/A,FALSE,"Ratio Analysis";#N/A,#N/A,FALSE,"Test 120 Day Accts";#N/A,#N/A,FALSE,"Tickmarks"}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17" hidden="1">{"Control_DataContact",#N/A,FALSE,"Control"}</definedName>
    <definedName name="test" localSheetId="20" hidden="1">{"Control_DataContact",#N/A,FALSE,"Control"}</definedName>
    <definedName name="test" localSheetId="37" hidden="1">{"Control_DataContact",#N/A,FALSE,"Control"}</definedName>
    <definedName name="test" localSheetId="38" hidden="1">{"Control_DataContact",#N/A,FALSE,"Control"}</definedName>
    <definedName name="test" localSheetId="53" hidden="1">{"Control_DataContact",#N/A,FALSE,"Control"}</definedName>
    <definedName name="test" localSheetId="4" hidden="1">{"Control_DataContact",#N/A,FALSE,"Control"}</definedName>
    <definedName name="test" localSheetId="54" hidden="1">{"Control_DataContact",#N/A,FALSE,"Control"}</definedName>
    <definedName name="test" localSheetId="58" hidden="1">{"Control_DataContact",#N/A,FALSE,"Control"}</definedName>
    <definedName name="test" hidden="1">{"Control_DataContact",#N/A,FALSE,"Control"}</definedName>
    <definedName name="test_1" hidden="1">{"Control_DataContact",#N/A,FALSE,"Control"}</definedName>
    <definedName name="test1_1" hidden="1">{"Sch.D_P_1Gas",#N/A,FALSE,"Sch.D";"Sch.D_P_2Elec",#N/A,FALSE,"Sch.D"}</definedName>
    <definedName name="test2006" hidden="1">{"SourcesUses",#N/A,TRUE,#N/A;"TransOverview",#N/A,TRUE,"CFMODEL"}</definedName>
    <definedName name="test3_1" hidden="1">{"Sch.E_PayrollExp",#N/A,TRUE,"Sch.E,F,G,H";"Sch.F_PayrollTaxes",#N/A,TRUE,"Sch.E,F,G,H";"Sch.G_IncentComp",#N/A,TRUE,"Sch.E,F,G,H";"Sch.H_P1_EmplBeneSum",#N/A,TRUE,"Sch.E,F,G,H"}</definedName>
    <definedName name="TextRefCopyRangeCount" hidden="1">39</definedName>
    <definedName name="This_Model_Enabled" hidden="1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P_Footer_User" hidden="1">"Melvin Williams"</definedName>
    <definedName name="TP_Footer_Version" hidden="1">"v3.00"</definedName>
    <definedName name="TUCU" localSheetId="17" hidden="1">#REF!</definedName>
    <definedName name="TUCU" localSheetId="20" hidden="1">#REF!</definedName>
    <definedName name="TUCU" localSheetId="34" hidden="1">#REF!</definedName>
    <definedName name="TUCU" localSheetId="38" hidden="1">#REF!</definedName>
    <definedName name="TUCU" localSheetId="53" hidden="1">#REF!</definedName>
    <definedName name="TUCU" localSheetId="4" hidden="1">#REF!</definedName>
    <definedName name="TUCU" localSheetId="5" hidden="1">#REF!</definedName>
    <definedName name="TUCU" localSheetId="58" hidden="1">#REF!</definedName>
    <definedName name="TUCU" hidden="1">#REF!</definedName>
    <definedName name="w" hidden="1">{"SourcesUses",#N/A,TRUE,"CFMODEL";"TransOverview",#N/A,TRUE,"CFMODEL"}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ind_Partner_Data" hidden="1">#REF!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localSheetId="1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3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3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3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localSheetId="1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3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3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3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17" hidden="1">{#N/A,#N/A,TRUE,"SDGE";#N/A,#N/A,TRUE,"GBU";#N/A,#N/A,TRUE,"TBU";#N/A,#N/A,TRUE,"EDBU";#N/A,#N/A,TRUE,"ExclCC"}</definedName>
    <definedName name="wrn.busum." localSheetId="20" hidden="1">{#N/A,#N/A,TRUE,"SDGE";#N/A,#N/A,TRUE,"GBU";#N/A,#N/A,TRUE,"TBU";#N/A,#N/A,TRUE,"EDBU";#N/A,#N/A,TRUE,"ExclCC"}</definedName>
    <definedName name="wrn.busum." localSheetId="37" hidden="1">{#N/A,#N/A,TRUE,"SDGE";#N/A,#N/A,TRUE,"GBU";#N/A,#N/A,TRUE,"TBU";#N/A,#N/A,TRUE,"EDBU";#N/A,#N/A,TRUE,"ExclCC"}</definedName>
    <definedName name="wrn.busum." localSheetId="38" hidden="1">{#N/A,#N/A,TRUE,"SDGE";#N/A,#N/A,TRUE,"GBU";#N/A,#N/A,TRUE,"TBU";#N/A,#N/A,TRUE,"EDBU";#N/A,#N/A,TRUE,"ExclCC"}</definedName>
    <definedName name="wrn.busum." localSheetId="42" hidden="1">{#N/A,#N/A,TRUE,"SDGE";#N/A,#N/A,TRUE,"GBU";#N/A,#N/A,TRUE,"TBU";#N/A,#N/A,TRUE,"EDBU";#N/A,#N/A,TRUE,"ExclCC"}</definedName>
    <definedName name="wrn.busum." localSheetId="53" hidden="1">{#N/A,#N/A,TRUE,"SDGE";#N/A,#N/A,TRUE,"GBU";#N/A,#N/A,TRUE,"TBU";#N/A,#N/A,TRUE,"EDBU";#N/A,#N/A,TRUE,"ExclCC"}</definedName>
    <definedName name="wrn.busum." localSheetId="4" hidden="1">{#N/A,#N/A,TRUE,"SDGE";#N/A,#N/A,TRUE,"GBU";#N/A,#N/A,TRUE,"TBU";#N/A,#N/A,TRUE,"EDBU";#N/A,#N/A,TRUE,"ExclCC"}</definedName>
    <definedName name="wrn.busum." localSheetId="58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17" hidden="1">{"Control_P1",#N/A,FALSE,"Control";"Control_P2",#N/A,FALSE,"Control";"Control_P3",#N/A,FALSE,"Control";"Control_P4",#N/A,FALSE,"Control"}</definedName>
    <definedName name="wrn.ControlSheets." localSheetId="20" hidden="1">{"Control_P1",#N/A,FALSE,"Control";"Control_P2",#N/A,FALSE,"Control";"Control_P3",#N/A,FALSE,"Control";"Control_P4",#N/A,FALSE,"Control"}</definedName>
    <definedName name="wrn.ControlSheets." localSheetId="37" hidden="1">{"Control_P1",#N/A,FALSE,"Control";"Control_P2",#N/A,FALSE,"Control";"Control_P3",#N/A,FALSE,"Control";"Control_P4",#N/A,FALSE,"Control"}</definedName>
    <definedName name="wrn.ControlSheets." localSheetId="38" hidden="1">{"Control_P1",#N/A,FALSE,"Control";"Control_P2",#N/A,FALSE,"Control";"Control_P3",#N/A,FALSE,"Control";"Control_P4",#N/A,FALSE,"Control"}</definedName>
    <definedName name="wrn.ControlSheets." localSheetId="53" hidden="1">{"Control_P1",#N/A,FALSE,"Control";"Control_P2",#N/A,FALSE,"Control";"Control_P3",#N/A,FALSE,"Control";"Control_P4",#N/A,FALSE,"Control"}</definedName>
    <definedName name="wrn.ControlSheets." localSheetId="4" hidden="1">{"Control_P1",#N/A,FALSE,"Control";"Control_P2",#N/A,FALSE,"Control";"Control_P3",#N/A,FALSE,"Control";"Control_P4",#N/A,FALSE,"Control"}</definedName>
    <definedName name="wrn.ControlSheets." localSheetId="54" hidden="1">{"Control_P1",#N/A,FALSE,"Control";"Control_P2",#N/A,FALSE,"Control";"Control_P3",#N/A,FALSE,"Control";"Control_P4",#N/A,FALSE,"Control"}</definedName>
    <definedName name="wrn.ControlSheets." localSheetId="58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localSheetId="17" hidden="1">{"Control_DataContact",#N/A,FALSE,"Control"}</definedName>
    <definedName name="wrn.Data_Contact." localSheetId="20" hidden="1">{"Control_DataContact",#N/A,FALSE,"Control"}</definedName>
    <definedName name="wrn.Data_Contact." localSheetId="37" hidden="1">{"Control_DataContact",#N/A,FALSE,"Control"}</definedName>
    <definedName name="wrn.Data_Contact." localSheetId="38" hidden="1">{"Control_DataContact",#N/A,FALSE,"Control"}</definedName>
    <definedName name="wrn.Data_Contact." localSheetId="53" hidden="1">{"Control_DataContact",#N/A,FALSE,"Control"}</definedName>
    <definedName name="wrn.Data_Contact." localSheetId="4" hidden="1">{"Control_DataContact",#N/A,FALSE,"Control"}</definedName>
    <definedName name="wrn.Data_Contact." localSheetId="54" hidden="1">{"Control_DataContact",#N/A,FALSE,"Control"}</definedName>
    <definedName name="wrn.Data_Contact." localSheetId="58" hidden="1">{"Control_DataContact",#N/A,FALSE,"Control"}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localSheetId="17" hidden="1">{"Est_Pg1",#N/A,FALSE,"Estimate2003";"Est_Pg2",#N/A,FALSE,"Estimate2003";"Est_Pg3",#N/A,FALSE,"Estimate2003";"Escalation,",#N/A,FALSE,"Escalation"}</definedName>
    <definedName name="wrn.Est_2003." localSheetId="20" hidden="1">{"Est_Pg1",#N/A,FALSE,"Estimate2003";"Est_Pg2",#N/A,FALSE,"Estimate2003";"Est_Pg3",#N/A,FALSE,"Estimate2003";"Escalation,",#N/A,FALSE,"Escalation"}</definedName>
    <definedName name="wrn.Est_2003." localSheetId="37" hidden="1">{"Est_Pg1",#N/A,FALSE,"Estimate2003";"Est_Pg2",#N/A,FALSE,"Estimate2003";"Est_Pg3",#N/A,FALSE,"Estimate2003";"Escalation,",#N/A,FALSE,"Escalation"}</definedName>
    <definedName name="wrn.Est_2003." localSheetId="38" hidden="1">{"Est_Pg1",#N/A,FALSE,"Estimate2003";"Est_Pg2",#N/A,FALSE,"Estimate2003";"Est_Pg3",#N/A,FALSE,"Estimate2003";"Escalation,",#N/A,FALSE,"Escalation"}</definedName>
    <definedName name="wrn.Est_2003." localSheetId="53" hidden="1">{"Est_Pg1",#N/A,FALSE,"Estimate2003";"Est_Pg2",#N/A,FALSE,"Estimate2003";"Est_Pg3",#N/A,FALSE,"Estimate2003";"Escalation,",#N/A,FALSE,"Escalation"}</definedName>
    <definedName name="wrn.Est_2003." localSheetId="4" hidden="1">{"Est_Pg1",#N/A,FALSE,"Estimate2003";"Est_Pg2",#N/A,FALSE,"Estimate2003";"Est_Pg3",#N/A,FALSE,"Estimate2003";"Escalation,",#N/A,FALSE,"Escalation"}</definedName>
    <definedName name="wrn.Est_2003." localSheetId="54" hidden="1">{"Est_Pg1",#N/A,FALSE,"Estimate2003";"Est_Pg2",#N/A,FALSE,"Estimate2003";"Est_Pg3",#N/A,FALSE,"Estimate2003";"Escalation,",#N/A,FALSE,"Escalation"}</definedName>
    <definedName name="wrn.Est_2003." localSheetId="58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localSheetId="17" hidden="1">{"Alberta",#N/A,FALSE,"Pivot Data";#N/A,#N/A,FALSE,"Pivot Data";"HiddenColumns",#N/A,FALSE,"Pivot Data"}</definedName>
    <definedName name="wrn.MyTestReport." localSheetId="20" hidden="1">{"Alberta",#N/A,FALSE,"Pivot Data";#N/A,#N/A,FALSE,"Pivot Data";"HiddenColumns",#N/A,FALSE,"Pivot Data"}</definedName>
    <definedName name="wrn.MyTestReport." localSheetId="37" hidden="1">{"Alberta",#N/A,FALSE,"Pivot Data";#N/A,#N/A,FALSE,"Pivot Data";"HiddenColumns",#N/A,FALSE,"Pivot Data"}</definedName>
    <definedName name="wrn.MyTestReport." localSheetId="38" hidden="1">{"Alberta",#N/A,FALSE,"Pivot Data";#N/A,#N/A,FALSE,"Pivot Data";"HiddenColumns",#N/A,FALSE,"Pivot Data"}</definedName>
    <definedName name="wrn.MyTestReport." localSheetId="53" hidden="1">{"Alberta",#N/A,FALSE,"Pivot Data";#N/A,#N/A,FALSE,"Pivot Data";"HiddenColumns",#N/A,FALSE,"Pivot Data"}</definedName>
    <definedName name="wrn.MyTestReport." localSheetId="4" hidden="1">{"Alberta",#N/A,FALSE,"Pivot Data";#N/A,#N/A,FALSE,"Pivot Data";"HiddenColumns",#N/A,FALSE,"Pivot Data"}</definedName>
    <definedName name="wrn.MyTestReport." localSheetId="54" hidden="1">{"Alberta",#N/A,FALSE,"Pivot Data";#N/A,#N/A,FALSE,"Pivot Data";"HiddenColumns",#N/A,FALSE,"Pivot Data"}</definedName>
    <definedName name="wrn.MyTestReport." localSheetId="58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localSheetId="17" hidden="1">{"Sch.A_CWC_Summary",#N/A,FALSE,"Sch.A,B";"Sch.B_LLSummary",#N/A,FALSE,"Sch.A,B"}</definedName>
    <definedName name="wrn.Sch.A._.B." localSheetId="20" hidden="1">{"Sch.A_CWC_Summary",#N/A,FALSE,"Sch.A,B";"Sch.B_LLSummary",#N/A,FALSE,"Sch.A,B"}</definedName>
    <definedName name="wrn.Sch.A._.B." localSheetId="37" hidden="1">{"Sch.A_CWC_Summary",#N/A,FALSE,"Sch.A,B";"Sch.B_LLSummary",#N/A,FALSE,"Sch.A,B"}</definedName>
    <definedName name="wrn.Sch.A._.B." localSheetId="38" hidden="1">{"Sch.A_CWC_Summary",#N/A,FALSE,"Sch.A,B";"Sch.B_LLSummary",#N/A,FALSE,"Sch.A,B"}</definedName>
    <definedName name="wrn.Sch.A._.B." localSheetId="53" hidden="1">{"Sch.A_CWC_Summary",#N/A,FALSE,"Sch.A,B";"Sch.B_LLSummary",#N/A,FALSE,"Sch.A,B"}</definedName>
    <definedName name="wrn.Sch.A._.B." localSheetId="4" hidden="1">{"Sch.A_CWC_Summary",#N/A,FALSE,"Sch.A,B";"Sch.B_LLSummary",#N/A,FALSE,"Sch.A,B"}</definedName>
    <definedName name="wrn.Sch.A._.B." localSheetId="54" hidden="1">{"Sch.A_CWC_Summary",#N/A,FALSE,"Sch.A,B";"Sch.B_LLSummary",#N/A,FALSE,"Sch.A,B"}</definedName>
    <definedName name="wrn.Sch.A._.B." localSheetId="58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17" hidden="1">{"Sch.C_Rev_lag",#N/A,FALSE,"Sch.C"}</definedName>
    <definedName name="wrn.Sch.C." localSheetId="20" hidden="1">{"Sch.C_Rev_lag",#N/A,FALSE,"Sch.C"}</definedName>
    <definedName name="wrn.Sch.C." localSheetId="37" hidden="1">{"Sch.C_Rev_lag",#N/A,FALSE,"Sch.C"}</definedName>
    <definedName name="wrn.Sch.C." localSheetId="38" hidden="1">{"Sch.C_Rev_lag",#N/A,FALSE,"Sch.C"}</definedName>
    <definedName name="wrn.Sch.C." localSheetId="53" hidden="1">{"Sch.C_Rev_lag",#N/A,FALSE,"Sch.C"}</definedName>
    <definedName name="wrn.Sch.C." localSheetId="4" hidden="1">{"Sch.C_Rev_lag",#N/A,FALSE,"Sch.C"}</definedName>
    <definedName name="wrn.Sch.C." localSheetId="54" hidden="1">{"Sch.C_Rev_lag",#N/A,FALSE,"Sch.C"}</definedName>
    <definedName name="wrn.Sch.C." localSheetId="58" hidden="1">{"Sch.C_Rev_lag",#N/A,FALSE,"Sch.C"}</definedName>
    <definedName name="wrn.Sch.C." hidden="1">{"Sch.C_Rev_lag",#N/A,FALSE,"Sch.C"}</definedName>
    <definedName name="wrn.Sch.C._1" hidden="1">{"Sch.C_Rev_lag",#N/A,FALSE,"Sch.C"}</definedName>
    <definedName name="wrn.Sch.D." localSheetId="17" hidden="1">{"Sch.D1_GasPurch",#N/A,FALSE,"Sch.D";"Sch.D2_ElecPurch",#N/A,FALSE,"Sch.D"}</definedName>
    <definedName name="wrn.Sch.D." localSheetId="20" hidden="1">{"Sch.D1_GasPurch",#N/A,FALSE,"Sch.D";"Sch.D2_ElecPurch",#N/A,FALSE,"Sch.D"}</definedName>
    <definedName name="wrn.Sch.D." localSheetId="37" hidden="1">{"Sch.D1_GasPurch",#N/A,FALSE,"Sch.D";"Sch.D2_ElecPurch",#N/A,FALSE,"Sch.D"}</definedName>
    <definedName name="wrn.Sch.D." localSheetId="38" hidden="1">{"Sch.D1_GasPurch",#N/A,FALSE,"Sch.D";"Sch.D2_ElecPurch",#N/A,FALSE,"Sch.D"}</definedName>
    <definedName name="wrn.Sch.D." localSheetId="53" hidden="1">{"Sch.D1_GasPurch",#N/A,FALSE,"Sch.D";"Sch.D2_ElecPurch",#N/A,FALSE,"Sch.D"}</definedName>
    <definedName name="wrn.Sch.D." localSheetId="4" hidden="1">{"Sch.D1_GasPurch",#N/A,FALSE,"Sch.D";"Sch.D2_ElecPurch",#N/A,FALSE,"Sch.D"}</definedName>
    <definedName name="wrn.Sch.D." localSheetId="54" hidden="1">{"Sch.D1_GasPurch",#N/A,FALSE,"Sch.D";"Sch.D2_ElecPurch",#N/A,FALSE,"Sch.D"}</definedName>
    <definedName name="wrn.Sch.D." localSheetId="58" hidden="1">{"Sch.D1_GasPurch",#N/A,FALSE,"Sch.D";"Sch.D2_ElecPurch",#N/A,FALSE,"Sch.D"}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17" hidden="1">{"Sch.E_PayrollExp",#N/A,TRUE,"Sch.E,F";"Sch.F_FICA",#N/A,TRUE,"Sch.E,F"}</definedName>
    <definedName name="wrn.Sch.E._.F." localSheetId="20" hidden="1">{"Sch.E_PayrollExp",#N/A,TRUE,"Sch.E,F";"Sch.F_FICA",#N/A,TRUE,"Sch.E,F"}</definedName>
    <definedName name="wrn.Sch.E._.F." localSheetId="37" hidden="1">{"Sch.E_PayrollExp",#N/A,TRUE,"Sch.E,F";"Sch.F_FICA",#N/A,TRUE,"Sch.E,F"}</definedName>
    <definedName name="wrn.Sch.E._.F." localSheetId="38" hidden="1">{"Sch.E_PayrollExp",#N/A,TRUE,"Sch.E,F";"Sch.F_FICA",#N/A,TRUE,"Sch.E,F"}</definedName>
    <definedName name="wrn.Sch.E._.F." localSheetId="53" hidden="1">{"Sch.E_PayrollExp",#N/A,TRUE,"Sch.E,F";"Sch.F_FICA",#N/A,TRUE,"Sch.E,F"}</definedName>
    <definedName name="wrn.Sch.E._.F." localSheetId="4" hidden="1">{"Sch.E_PayrollExp",#N/A,TRUE,"Sch.E,F";"Sch.F_FICA",#N/A,TRUE,"Sch.E,F"}</definedName>
    <definedName name="wrn.Sch.E._.F." localSheetId="54" hidden="1">{"Sch.E_PayrollExp",#N/A,TRUE,"Sch.E,F";"Sch.F_FICA",#N/A,TRUE,"Sch.E,F"}</definedName>
    <definedName name="wrn.Sch.E._.F." localSheetId="58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17" hidden="1">{"Sch.G_ICP",#N/A,FALSE,"Sch.G"}</definedName>
    <definedName name="wrn.Sch.G." localSheetId="20" hidden="1">{"Sch.G_ICP",#N/A,FALSE,"Sch.G"}</definedName>
    <definedName name="wrn.Sch.G." localSheetId="37" hidden="1">{"Sch.G_ICP",#N/A,FALSE,"Sch.G"}</definedName>
    <definedName name="wrn.Sch.G." localSheetId="38" hidden="1">{"Sch.G_ICP",#N/A,FALSE,"Sch.G"}</definedName>
    <definedName name="wrn.Sch.G." localSheetId="53" hidden="1">{"Sch.G_ICP",#N/A,FALSE,"Sch.G"}</definedName>
    <definedName name="wrn.Sch.G." localSheetId="4" hidden="1">{"Sch.G_ICP",#N/A,FALSE,"Sch.G"}</definedName>
    <definedName name="wrn.Sch.G." localSheetId="54" hidden="1">{"Sch.G_ICP",#N/A,FALSE,"Sch.G"}</definedName>
    <definedName name="wrn.Sch.G." localSheetId="58" hidden="1">{"Sch.G_ICP",#N/A,FALSE,"Sch.G"}</definedName>
    <definedName name="wrn.Sch.G." hidden="1">{"Sch.G_ICP",#N/A,FALSE,"Sch.G"}</definedName>
    <definedName name="wrn.Sch.G._1" hidden="1">{"Sch.G_ICP",#N/A,FALSE,"Sch.G"}</definedName>
    <definedName name="wrn.Sch.H." localSheetId="1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3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3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3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17" hidden="1">{"Sch.I_Goods&amp;Svcs",#N/A,FALSE,"Sch.I"}</definedName>
    <definedName name="wrn.Sch.I." localSheetId="20" hidden="1">{"Sch.I_Goods&amp;Svcs",#N/A,FALSE,"Sch.I"}</definedName>
    <definedName name="wrn.Sch.I." localSheetId="37" hidden="1">{"Sch.I_Goods&amp;Svcs",#N/A,FALSE,"Sch.I"}</definedName>
    <definedName name="wrn.Sch.I." localSheetId="38" hidden="1">{"Sch.I_Goods&amp;Svcs",#N/A,FALSE,"Sch.I"}</definedName>
    <definedName name="wrn.Sch.I." localSheetId="53" hidden="1">{"Sch.I_Goods&amp;Svcs",#N/A,FALSE,"Sch.I"}</definedName>
    <definedName name="wrn.Sch.I." localSheetId="4" hidden="1">{"Sch.I_Goods&amp;Svcs",#N/A,FALSE,"Sch.I"}</definedName>
    <definedName name="wrn.Sch.I." localSheetId="54" hidden="1">{"Sch.I_Goods&amp;Svcs",#N/A,FALSE,"Sch.I"}</definedName>
    <definedName name="wrn.Sch.I." localSheetId="58" hidden="1">{"Sch.I_Goods&amp;Svcs",#N/A,FALSE,"Sch.I"}</definedName>
    <definedName name="wrn.Sch.I." hidden="1">{"Sch.I_Goods&amp;Svcs",#N/A,FALSE,"Sch.I"}</definedName>
    <definedName name="wrn.Sch.I._1" hidden="1">{"Sch.I_Goods&amp;Svcs",#N/A,FALSE,"Sch.I"}</definedName>
    <definedName name="wrn.Sch.J." localSheetId="17" hidden="1">{"Sch.J_CorpChgs",#N/A,FALSE,"Sch.J"}</definedName>
    <definedName name="wrn.Sch.J." localSheetId="20" hidden="1">{"Sch.J_CorpChgs",#N/A,FALSE,"Sch.J"}</definedName>
    <definedName name="wrn.Sch.J." localSheetId="37" hidden="1">{"Sch.J_CorpChgs",#N/A,FALSE,"Sch.J"}</definedName>
    <definedName name="wrn.Sch.J." localSheetId="38" hidden="1">{"Sch.J_CorpChgs",#N/A,FALSE,"Sch.J"}</definedName>
    <definedName name="wrn.Sch.J." localSheetId="53" hidden="1">{"Sch.J_CorpChgs",#N/A,FALSE,"Sch.J"}</definedName>
    <definedName name="wrn.Sch.J." localSheetId="4" hidden="1">{"Sch.J_CorpChgs",#N/A,FALSE,"Sch.J"}</definedName>
    <definedName name="wrn.Sch.J." localSheetId="54" hidden="1">{"Sch.J_CorpChgs",#N/A,FALSE,"Sch.J"}</definedName>
    <definedName name="wrn.Sch.J." localSheetId="58" hidden="1">{"Sch.J_CorpChgs",#N/A,FALSE,"Sch.J"}</definedName>
    <definedName name="wrn.Sch.J." hidden="1">{"Sch.J_CorpChgs",#N/A,FALSE,"Sch.J"}</definedName>
    <definedName name="wrn.Sch.J._1" hidden="1">{"Sch.J_CorpChgs",#N/A,FALSE,"Sch.J"}</definedName>
    <definedName name="wrn.Sch.K." localSheetId="17" hidden="1">{"Sch.K_P1_PropLease",#N/A,FALSE,"Sch.K";"Sch.K_P2_PropLease",#N/A,FALSE,"Sch.K"}</definedName>
    <definedName name="wrn.Sch.K." localSheetId="20" hidden="1">{"Sch.K_P1_PropLease",#N/A,FALSE,"Sch.K";"Sch.K_P2_PropLease",#N/A,FALSE,"Sch.K"}</definedName>
    <definedName name="wrn.Sch.K." localSheetId="37" hidden="1">{"Sch.K_P1_PropLease",#N/A,FALSE,"Sch.K";"Sch.K_P2_PropLease",#N/A,FALSE,"Sch.K"}</definedName>
    <definedName name="wrn.Sch.K." localSheetId="38" hidden="1">{"Sch.K_P1_PropLease",#N/A,FALSE,"Sch.K";"Sch.K_P2_PropLease",#N/A,FALSE,"Sch.K"}</definedName>
    <definedName name="wrn.Sch.K." localSheetId="53" hidden="1">{"Sch.K_P1_PropLease",#N/A,FALSE,"Sch.K";"Sch.K_P2_PropLease",#N/A,FALSE,"Sch.K"}</definedName>
    <definedName name="wrn.Sch.K." localSheetId="4" hidden="1">{"Sch.K_P1_PropLease",#N/A,FALSE,"Sch.K";"Sch.K_P2_PropLease",#N/A,FALSE,"Sch.K"}</definedName>
    <definedName name="wrn.Sch.K." localSheetId="54" hidden="1">{"Sch.K_P1_PropLease",#N/A,FALSE,"Sch.K";"Sch.K_P2_PropLease",#N/A,FALSE,"Sch.K"}</definedName>
    <definedName name="wrn.Sch.K." localSheetId="58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17" hidden="1">{"Sch.L_MaterialIssue",#N/A,FALSE,"Sch.L"}</definedName>
    <definedName name="wrn.Sch.L." localSheetId="20" hidden="1">{"Sch.L_MaterialIssue",#N/A,FALSE,"Sch.L"}</definedName>
    <definedName name="wrn.Sch.L." localSheetId="37" hidden="1">{"Sch.L_MaterialIssue",#N/A,FALSE,"Sch.L"}</definedName>
    <definedName name="wrn.Sch.L." localSheetId="38" hidden="1">{"Sch.L_MaterialIssue",#N/A,FALSE,"Sch.L"}</definedName>
    <definedName name="wrn.Sch.L." localSheetId="53" hidden="1">{"Sch.L_MaterialIssue",#N/A,FALSE,"Sch.L"}</definedName>
    <definedName name="wrn.Sch.L." localSheetId="4" hidden="1">{"Sch.L_MaterialIssue",#N/A,FALSE,"Sch.L"}</definedName>
    <definedName name="wrn.Sch.L." localSheetId="54" hidden="1">{"Sch.L_MaterialIssue",#N/A,FALSE,"Sch.L"}</definedName>
    <definedName name="wrn.Sch.L." localSheetId="58" hidden="1">{"Sch.L_MaterialIssue",#N/A,FALSE,"Sch.L"}</definedName>
    <definedName name="wrn.Sch.L." hidden="1">{"Sch.L_MaterialIssue",#N/A,FALSE,"Sch.L"}</definedName>
    <definedName name="wrn.Sch.L._1" hidden="1">{"Sch.L_MaterialIssue",#N/A,FALSE,"Sch.L"}</definedName>
    <definedName name="wrn.Sch.M." localSheetId="17" hidden="1">{"Sch.M_Prop&amp;FFTaxes",#N/A,FALSE,"Sch.M"}</definedName>
    <definedName name="wrn.Sch.M." localSheetId="20" hidden="1">{"Sch.M_Prop&amp;FFTaxes",#N/A,FALSE,"Sch.M"}</definedName>
    <definedName name="wrn.Sch.M." localSheetId="37" hidden="1">{"Sch.M_Prop&amp;FFTaxes",#N/A,FALSE,"Sch.M"}</definedName>
    <definedName name="wrn.Sch.M." localSheetId="38" hidden="1">{"Sch.M_Prop&amp;FFTaxes",#N/A,FALSE,"Sch.M"}</definedName>
    <definedName name="wrn.Sch.M." localSheetId="53" hidden="1">{"Sch.M_Prop&amp;FFTaxes",#N/A,FALSE,"Sch.M"}</definedName>
    <definedName name="wrn.Sch.M." localSheetId="4" hidden="1">{"Sch.M_Prop&amp;FFTaxes",#N/A,FALSE,"Sch.M"}</definedName>
    <definedName name="wrn.Sch.M." localSheetId="54" hidden="1">{"Sch.M_Prop&amp;FFTaxes",#N/A,FALSE,"Sch.M"}</definedName>
    <definedName name="wrn.Sch.M." localSheetId="58" hidden="1">{"Sch.M_Prop&amp;FFTaxes",#N/A,FALSE,"Sch.M"}</definedName>
    <definedName name="wrn.Sch.M." hidden="1">{"Sch.M_Prop&amp;FFTaxes",#N/A,FALSE,"Sch.M"}</definedName>
    <definedName name="wrn.Sch.M._1" hidden="1">{"Sch.M_Prop&amp;FFTaxes",#N/A,FALSE,"Sch.M"}</definedName>
    <definedName name="wrn.Sch.N." localSheetId="17" hidden="1">{"Sch.N_IncTaxes",#N/A,FALSE,"Sch. N, O"}</definedName>
    <definedName name="wrn.Sch.N." localSheetId="20" hidden="1">{"Sch.N_IncTaxes",#N/A,FALSE,"Sch. N, O"}</definedName>
    <definedName name="wrn.Sch.N." localSheetId="37" hidden="1">{"Sch.N_IncTaxes",#N/A,FALSE,"Sch. N, O"}</definedName>
    <definedName name="wrn.Sch.N." localSheetId="38" hidden="1">{"Sch.N_IncTaxes",#N/A,FALSE,"Sch. N, O"}</definedName>
    <definedName name="wrn.Sch.N." localSheetId="53" hidden="1">{"Sch.N_IncTaxes",#N/A,FALSE,"Sch. N, O"}</definedName>
    <definedName name="wrn.Sch.N." localSheetId="4" hidden="1">{"Sch.N_IncTaxes",#N/A,FALSE,"Sch. N, O"}</definedName>
    <definedName name="wrn.Sch.N." localSheetId="54" hidden="1">{"Sch.N_IncTaxes",#N/A,FALSE,"Sch. N, O"}</definedName>
    <definedName name="wrn.Sch.N." localSheetId="58" hidden="1">{"Sch.N_IncTaxes",#N/A,FALSE,"Sch. N, O"}</definedName>
    <definedName name="wrn.Sch.N." hidden="1">{"Sch.N_IncTaxes",#N/A,FALSE,"Sch. N, O"}</definedName>
    <definedName name="wrn.Sch.N._1" hidden="1">{"Sch.N_IncTaxes",#N/A,FALSE,"Sch. N, O"}</definedName>
    <definedName name="wrn.Sch.O." localSheetId="17" hidden="1">{"Sch.O1_FedITDeferred",#N/A,FALSE,"Sch. N, O";"Sch_O2_Depreciation",#N/A,FALSE,"Sch. N, O";"Sch_O3_AmortInsurance",#N/A,FALSE,"Sch. N, O"}</definedName>
    <definedName name="wrn.Sch.O." localSheetId="20" hidden="1">{"Sch.O1_FedITDeferred",#N/A,FALSE,"Sch. N, O";"Sch_O2_Depreciation",#N/A,FALSE,"Sch. N, O";"Sch_O3_AmortInsurance",#N/A,FALSE,"Sch. N, O"}</definedName>
    <definedName name="wrn.Sch.O." localSheetId="37" hidden="1">{"Sch.O1_FedITDeferred",#N/A,FALSE,"Sch. N, O";"Sch_O2_Depreciation",#N/A,FALSE,"Sch. N, O";"Sch_O3_AmortInsurance",#N/A,FALSE,"Sch. N, O"}</definedName>
    <definedName name="wrn.Sch.O." localSheetId="38" hidden="1">{"Sch.O1_FedITDeferred",#N/A,FALSE,"Sch. N, O";"Sch_O2_Depreciation",#N/A,FALSE,"Sch. N, O";"Sch_O3_AmortInsurance",#N/A,FALSE,"Sch. N, O"}</definedName>
    <definedName name="wrn.Sch.O." localSheetId="53" hidden="1">{"Sch.O1_FedITDeferred",#N/A,FALSE,"Sch. N, O";"Sch_O2_Depreciation",#N/A,FALSE,"Sch. N, O";"Sch_O3_AmortInsurance",#N/A,FALSE,"Sch. N, O"}</definedName>
    <definedName name="wrn.Sch.O." localSheetId="4" hidden="1">{"Sch.O1_FedITDeferred",#N/A,FALSE,"Sch. N, O";"Sch_O2_Depreciation",#N/A,FALSE,"Sch. N, O";"Sch_O3_AmortInsurance",#N/A,FALSE,"Sch. N, O"}</definedName>
    <definedName name="wrn.Sch.O." localSheetId="54" hidden="1">{"Sch.O1_FedITDeferred",#N/A,FALSE,"Sch. N, O";"Sch_O2_Depreciation",#N/A,FALSE,"Sch. N, O";"Sch_O3_AmortInsurance",#N/A,FALSE,"Sch. N, O"}</definedName>
    <definedName name="wrn.Sch.O." localSheetId="58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17" hidden="1">{"Sch.P_BS_Bal",#N/A,FALSE,"WP-BS Elem"}</definedName>
    <definedName name="wrn.Sch.P." localSheetId="20" hidden="1">{"Sch.P_BS_Bal",#N/A,FALSE,"WP-BS Elem"}</definedName>
    <definedName name="wrn.Sch.P." localSheetId="37" hidden="1">{"Sch.P_BS_Bal",#N/A,FALSE,"WP-BS Elem"}</definedName>
    <definedName name="wrn.Sch.P." localSheetId="38" hidden="1">{"Sch.P_BS_Bal",#N/A,FALSE,"WP-BS Elem"}</definedName>
    <definedName name="wrn.Sch.P." localSheetId="53" hidden="1">{"Sch.P_BS_Bal",#N/A,FALSE,"WP-BS Elem"}</definedName>
    <definedName name="wrn.Sch.P." localSheetId="4" hidden="1">{"Sch.P_BS_Bal",#N/A,FALSE,"WP-BS Elem"}</definedName>
    <definedName name="wrn.Sch.P." localSheetId="54" hidden="1">{"Sch.P_BS_Bal",#N/A,FALSE,"WP-BS Elem"}</definedName>
    <definedName name="wrn.Sch.P." localSheetId="58" hidden="1">{"Sch.P_BS_Bal",#N/A,FALSE,"WP-BS Elem"}</definedName>
    <definedName name="wrn.Sch.P." hidden="1">{"Sch.P_BS_Bal",#N/A,FALSE,"WP-BS Elem"}</definedName>
    <definedName name="wrn.Sch.P._.Accts." localSheetId="17" hidden="1">{"Sch.P_BS_Accts",#N/A,FALSE,"WP-BS Elem"}</definedName>
    <definedName name="wrn.Sch.P._.Accts." localSheetId="20" hidden="1">{"Sch.P_BS_Accts",#N/A,FALSE,"WP-BS Elem"}</definedName>
    <definedName name="wrn.Sch.P._.Accts." localSheetId="37" hidden="1">{"Sch.P_BS_Accts",#N/A,FALSE,"WP-BS Elem"}</definedName>
    <definedName name="wrn.Sch.P._.Accts." localSheetId="38" hidden="1">{"Sch.P_BS_Accts",#N/A,FALSE,"WP-BS Elem"}</definedName>
    <definedName name="wrn.Sch.P._.Accts." localSheetId="53" hidden="1">{"Sch.P_BS_Accts",#N/A,FALSE,"WP-BS Elem"}</definedName>
    <definedName name="wrn.Sch.P._.Accts." localSheetId="4" hidden="1">{"Sch.P_BS_Accts",#N/A,FALSE,"WP-BS Elem"}</definedName>
    <definedName name="wrn.Sch.P._.Accts." localSheetId="54" hidden="1">{"Sch.P_BS_Accts",#N/A,FALSE,"WP-BS Elem"}</definedName>
    <definedName name="wrn.Sch.P._.Accts." localSheetId="58" hidden="1">{"Sch.P_BS_Accts",#N/A,FALSE,"WP-BS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#REF!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xx" localSheetId="17" hidden="1">#REF!</definedName>
    <definedName name="xxx" localSheetId="20" hidden="1">#REF!</definedName>
    <definedName name="xxx" localSheetId="34" hidden="1">#REF!</definedName>
    <definedName name="xxx" localSheetId="38" hidden="1">#REF!</definedName>
    <definedName name="xxx" localSheetId="53" hidden="1">#REF!</definedName>
    <definedName name="xxx" localSheetId="4" hidden="1">#REF!</definedName>
    <definedName name="xxx" localSheetId="5" hidden="1">#REF!</definedName>
    <definedName name="xxx" localSheetId="58" hidden="1">#REF!</definedName>
    <definedName name="xxx" hidden="1">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Z_598CECA0_5C60_11D3_B382_005004054BC5_.wvu.Rows" hidden="1">#REF!,#REF!,#REF!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84" l="1"/>
  <c r="D20" i="84"/>
  <c r="D21" i="84"/>
  <c r="D22" i="84" s="1"/>
  <c r="D23" i="84" s="1"/>
  <c r="D24" i="84" s="1"/>
  <c r="D25" i="84" s="1"/>
  <c r="D26" i="84" s="1"/>
  <c r="D27" i="84" s="1"/>
  <c r="D28" i="84" s="1"/>
  <c r="D29" i="84" s="1"/>
  <c r="D30" i="84" s="1"/>
  <c r="D31" i="84" s="1"/>
  <c r="A19" i="84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G22" i="40" l="1"/>
  <c r="H74" i="41"/>
  <c r="A74" i="41"/>
  <c r="E62" i="41"/>
  <c r="E22" i="40" s="1"/>
  <c r="E42" i="40"/>
  <c r="E16" i="42"/>
  <c r="H34" i="42"/>
  <c r="H35" i="42" s="1"/>
  <c r="H36" i="42" s="1"/>
  <c r="H37" i="42" s="1"/>
  <c r="H38" i="42" s="1"/>
  <c r="H39" i="42" s="1"/>
  <c r="H40" i="42" s="1"/>
  <c r="H41" i="42" s="1"/>
  <c r="H42" i="42" s="1"/>
  <c r="H43" i="42" s="1"/>
  <c r="H44" i="42" s="1"/>
  <c r="H45" i="42" s="1"/>
  <c r="H46" i="42" s="1"/>
  <c r="H47" i="42" s="1"/>
  <c r="H48" i="42" s="1"/>
  <c r="H49" i="42" s="1"/>
  <c r="H50" i="42" s="1"/>
  <c r="H51" i="42" s="1"/>
  <c r="H52" i="42" s="1"/>
  <c r="A34" i="42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E32" i="40"/>
  <c r="E22" i="42"/>
  <c r="E33" i="40"/>
  <c r="E24" i="41" l="1"/>
  <c r="E13" i="45" l="1"/>
  <c r="C23" i="154" l="1"/>
  <c r="C48" i="169"/>
  <c r="C23" i="169"/>
  <c r="F26" i="168" l="1"/>
  <c r="E41" i="40" l="1"/>
  <c r="E40" i="40"/>
  <c r="E39" i="40"/>
  <c r="E38" i="40"/>
  <c r="E36" i="40"/>
  <c r="E35" i="40"/>
  <c r="E34" i="40"/>
  <c r="E24" i="69" s="1"/>
  <c r="E24" i="42"/>
  <c r="F24" i="42" s="1"/>
  <c r="E21" i="42"/>
  <c r="E20" i="42"/>
  <c r="E18" i="42"/>
  <c r="F18" i="42" s="1"/>
  <c r="E17" i="42"/>
  <c r="F17" i="42" s="1"/>
  <c r="F22" i="42"/>
  <c r="E41" i="42"/>
  <c r="E19" i="42" s="1"/>
  <c r="F19" i="42" s="1"/>
  <c r="C27" i="154"/>
  <c r="C48" i="154" s="1"/>
  <c r="C52" i="154" s="1"/>
  <c r="E55" i="41"/>
  <c r="E21" i="41" s="1"/>
  <c r="F21" i="41" s="1"/>
  <c r="E14" i="27"/>
  <c r="E13" i="27"/>
  <c r="D14" i="26"/>
  <c r="D14" i="25"/>
  <c r="F14" i="23"/>
  <c r="F26" i="23"/>
  <c r="F31" i="23"/>
  <c r="D16" i="26"/>
  <c r="D16" i="25"/>
  <c r="E64" i="41"/>
  <c r="E37" i="41" s="1"/>
  <c r="E65" i="41"/>
  <c r="E25" i="40" s="1"/>
  <c r="E63" i="41"/>
  <c r="E36" i="41" s="1"/>
  <c r="F36" i="41" s="1"/>
  <c r="E54" i="41"/>
  <c r="E19" i="40" s="1"/>
  <c r="G36" i="82"/>
  <c r="E26" i="40"/>
  <c r="K45" i="165"/>
  <c r="K40" i="165"/>
  <c r="K30" i="165"/>
  <c r="J30" i="167"/>
  <c r="E23" i="40"/>
  <c r="E11" i="41"/>
  <c r="F11" i="41" s="1"/>
  <c r="F24" i="41"/>
  <c r="B52" i="169"/>
  <c r="C46" i="169"/>
  <c r="G19" i="156" s="1"/>
  <c r="B46" i="169"/>
  <c r="B44" i="169"/>
  <c r="B42" i="169"/>
  <c r="C38" i="169"/>
  <c r="B38" i="169"/>
  <c r="B36" i="169"/>
  <c r="D34" i="169"/>
  <c r="C34" i="169"/>
  <c r="C40" i="169" s="1"/>
  <c r="B34" i="169"/>
  <c r="D32" i="169"/>
  <c r="C32" i="169"/>
  <c r="C44" i="169"/>
  <c r="C42" i="169"/>
  <c r="F19" i="156" s="1"/>
  <c r="C17" i="169"/>
  <c r="C27" i="169"/>
  <c r="A13" i="169"/>
  <c r="D36" i="169"/>
  <c r="A12" i="169"/>
  <c r="E11" i="169"/>
  <c r="E12" i="169"/>
  <c r="E13" i="169"/>
  <c r="E14" i="169"/>
  <c r="E15" i="169"/>
  <c r="E16" i="169"/>
  <c r="E17" i="169"/>
  <c r="E18" i="169"/>
  <c r="E19" i="169"/>
  <c r="E20" i="169"/>
  <c r="E21" i="169"/>
  <c r="E22" i="169"/>
  <c r="E23" i="169"/>
  <c r="E24" i="169"/>
  <c r="E25" i="169"/>
  <c r="E26" i="169"/>
  <c r="E27" i="169"/>
  <c r="E28" i="169"/>
  <c r="E33" i="169"/>
  <c r="E34" i="169"/>
  <c r="E35" i="169"/>
  <c r="E36" i="169"/>
  <c r="E37" i="169"/>
  <c r="E38" i="169"/>
  <c r="E39" i="169"/>
  <c r="E40" i="169"/>
  <c r="E41" i="169"/>
  <c r="E42" i="169"/>
  <c r="E43" i="169"/>
  <c r="E44" i="169"/>
  <c r="E45" i="169"/>
  <c r="E46" i="169"/>
  <c r="E47" i="169"/>
  <c r="E48" i="169"/>
  <c r="E49" i="169"/>
  <c r="E50" i="169"/>
  <c r="E51" i="169"/>
  <c r="E52" i="169"/>
  <c r="E53" i="169"/>
  <c r="C36" i="169"/>
  <c r="A14" i="169"/>
  <c r="A15" i="169"/>
  <c r="D38" i="169"/>
  <c r="A16" i="169"/>
  <c r="A17" i="169"/>
  <c r="D17" i="169"/>
  <c r="A18" i="169"/>
  <c r="A19" i="169"/>
  <c r="D42" i="169"/>
  <c r="A20" i="169"/>
  <c r="A21" i="169"/>
  <c r="D23" i="169"/>
  <c r="A22" i="169"/>
  <c r="A23" i="169"/>
  <c r="D44" i="169"/>
  <c r="A24" i="169"/>
  <c r="A25" i="169"/>
  <c r="D46" i="169"/>
  <c r="A26" i="169"/>
  <c r="A27" i="169"/>
  <c r="A28" i="169"/>
  <c r="A33" i="169"/>
  <c r="A34" i="169"/>
  <c r="D27" i="169"/>
  <c r="A35" i="169"/>
  <c r="A36" i="169"/>
  <c r="A37" i="169"/>
  <c r="A38" i="169"/>
  <c r="A39" i="169"/>
  <c r="A40" i="169"/>
  <c r="A41" i="169"/>
  <c r="A42" i="169"/>
  <c r="A43" i="169"/>
  <c r="A44" i="169"/>
  <c r="A45" i="169"/>
  <c r="A46" i="169"/>
  <c r="A47" i="169"/>
  <c r="A48" i="169"/>
  <c r="D40" i="169"/>
  <c r="A49" i="169"/>
  <c r="A50" i="169"/>
  <c r="A51" i="169"/>
  <c r="A52" i="169"/>
  <c r="A53" i="169"/>
  <c r="D52" i="169"/>
  <c r="D48" i="169"/>
  <c r="B5" i="156"/>
  <c r="G43" i="40"/>
  <c r="H43" i="40"/>
  <c r="A43" i="40"/>
  <c r="A44" i="40"/>
  <c r="F28" i="42"/>
  <c r="F13" i="42"/>
  <c r="F15" i="42"/>
  <c r="E44" i="40" s="1"/>
  <c r="F20" i="42"/>
  <c r="F23" i="42"/>
  <c r="F25" i="41"/>
  <c r="F13" i="41"/>
  <c r="F14" i="41"/>
  <c r="F16" i="41"/>
  <c r="F17" i="41"/>
  <c r="F18" i="41"/>
  <c r="F22" i="41"/>
  <c r="F12" i="41"/>
  <c r="D15" i="27"/>
  <c r="B6" i="24"/>
  <c r="B5" i="10"/>
  <c r="D15" i="14"/>
  <c r="F14" i="42"/>
  <c r="F11" i="42"/>
  <c r="D26" i="42"/>
  <c r="D30" i="42" s="1"/>
  <c r="E30" i="40" s="1"/>
  <c r="D57" i="150"/>
  <c r="F10" i="150"/>
  <c r="A14" i="150"/>
  <c r="A15" i="150"/>
  <c r="A16" i="150"/>
  <c r="A17" i="150"/>
  <c r="A18" i="150"/>
  <c r="A19" i="150"/>
  <c r="A20" i="150"/>
  <c r="A21" i="150"/>
  <c r="A22" i="150"/>
  <c r="A23" i="150"/>
  <c r="A24" i="150"/>
  <c r="A25" i="150"/>
  <c r="A26" i="150"/>
  <c r="A27" i="150"/>
  <c r="A28" i="150"/>
  <c r="A29" i="150"/>
  <c r="A30" i="150"/>
  <c r="A31" i="150"/>
  <c r="A32" i="150"/>
  <c r="A33" i="150"/>
  <c r="A34" i="150"/>
  <c r="A35" i="150"/>
  <c r="A36" i="150"/>
  <c r="A37" i="150"/>
  <c r="A38" i="150"/>
  <c r="A39" i="150"/>
  <c r="A40" i="150"/>
  <c r="A41" i="150"/>
  <c r="A42" i="150"/>
  <c r="A43" i="150"/>
  <c r="A44" i="150"/>
  <c r="A45" i="150"/>
  <c r="A46" i="150"/>
  <c r="A47" i="150"/>
  <c r="A48" i="150"/>
  <c r="A49" i="150"/>
  <c r="A50" i="150"/>
  <c r="A51" i="150"/>
  <c r="A52" i="150"/>
  <c r="A53" i="150"/>
  <c r="A54" i="150"/>
  <c r="A55" i="150"/>
  <c r="A56" i="150"/>
  <c r="A57" i="150"/>
  <c r="A58" i="150"/>
  <c r="A59" i="150"/>
  <c r="A60" i="150"/>
  <c r="A12" i="150"/>
  <c r="A13" i="150"/>
  <c r="A11" i="150"/>
  <c r="B5" i="167"/>
  <c r="B5" i="165"/>
  <c r="I45" i="165"/>
  <c r="G42" i="165"/>
  <c r="E42" i="165"/>
  <c r="C42" i="165"/>
  <c r="I41" i="165"/>
  <c r="I40" i="165"/>
  <c r="I42" i="165"/>
  <c r="G37" i="165"/>
  <c r="E37" i="165"/>
  <c r="C37" i="165"/>
  <c r="I36" i="165"/>
  <c r="I35" i="165"/>
  <c r="I37" i="165" s="1"/>
  <c r="G32" i="165"/>
  <c r="E32" i="165"/>
  <c r="C32" i="165"/>
  <c r="I31" i="165"/>
  <c r="I30" i="165"/>
  <c r="G26" i="165"/>
  <c r="E26" i="165"/>
  <c r="C26" i="165"/>
  <c r="I25" i="165"/>
  <c r="I24" i="165"/>
  <c r="I26" i="165" s="1"/>
  <c r="E15" i="34" s="1"/>
  <c r="I15" i="34" s="1"/>
  <c r="G21" i="165"/>
  <c r="E21" i="165"/>
  <c r="C21" i="165"/>
  <c r="I20" i="165"/>
  <c r="I19" i="165"/>
  <c r="I21" i="165" s="1"/>
  <c r="G16" i="165"/>
  <c r="E16" i="165"/>
  <c r="C16" i="165"/>
  <c r="I15" i="165"/>
  <c r="I14" i="165"/>
  <c r="I13" i="165"/>
  <c r="A13" i="165"/>
  <c r="A14" i="165"/>
  <c r="A15" i="165"/>
  <c r="A16" i="165"/>
  <c r="A17" i="165"/>
  <c r="A18" i="165"/>
  <c r="A19" i="165"/>
  <c r="L12" i="165"/>
  <c r="L13" i="165"/>
  <c r="L14" i="165"/>
  <c r="L15" i="165"/>
  <c r="L16" i="165"/>
  <c r="L17" i="165"/>
  <c r="L18" i="165"/>
  <c r="L19" i="165"/>
  <c r="L20" i="165"/>
  <c r="L21" i="165"/>
  <c r="L22" i="165"/>
  <c r="L23" i="165"/>
  <c r="L24" i="165"/>
  <c r="L25" i="165"/>
  <c r="L26" i="165"/>
  <c r="L27" i="165"/>
  <c r="L28" i="165"/>
  <c r="L29" i="165"/>
  <c r="L30" i="165"/>
  <c r="L31" i="165"/>
  <c r="L32" i="165"/>
  <c r="L33" i="165"/>
  <c r="L34" i="165"/>
  <c r="L35" i="165"/>
  <c r="L36" i="165"/>
  <c r="L37" i="165"/>
  <c r="L38" i="165"/>
  <c r="L39" i="165"/>
  <c r="L40" i="165"/>
  <c r="L41" i="165"/>
  <c r="L42" i="165"/>
  <c r="L43" i="165"/>
  <c r="L44" i="165"/>
  <c r="L45" i="165"/>
  <c r="J34" i="152"/>
  <c r="J36" i="152"/>
  <c r="I34" i="152"/>
  <c r="I36" i="152" s="1"/>
  <c r="H34" i="152"/>
  <c r="H36" i="152" s="1"/>
  <c r="G34" i="152"/>
  <c r="G36" i="152"/>
  <c r="F34" i="152"/>
  <c r="E34" i="152"/>
  <c r="E36" i="152" s="1"/>
  <c r="D34" i="152"/>
  <c r="D36" i="152" s="1"/>
  <c r="K32" i="152"/>
  <c r="K31" i="152"/>
  <c r="K30" i="152"/>
  <c r="K29" i="152"/>
  <c r="K28" i="152"/>
  <c r="K27" i="152"/>
  <c r="K26" i="152"/>
  <c r="K25" i="152"/>
  <c r="K34" i="152" s="1"/>
  <c r="K24" i="152"/>
  <c r="J22" i="152"/>
  <c r="I22" i="152"/>
  <c r="H22" i="152"/>
  <c r="G22" i="152"/>
  <c r="F22" i="152"/>
  <c r="F36" i="152" s="1"/>
  <c r="E22" i="152"/>
  <c r="D22" i="152"/>
  <c r="K20" i="152"/>
  <c r="K19" i="152"/>
  <c r="A19" i="152"/>
  <c r="A20" i="152"/>
  <c r="K18" i="152"/>
  <c r="A18" i="152"/>
  <c r="M17" i="152"/>
  <c r="M18" i="152"/>
  <c r="M19" i="152"/>
  <c r="M20" i="152"/>
  <c r="M21" i="152"/>
  <c r="M22" i="152"/>
  <c r="M23" i="152"/>
  <c r="M24" i="152"/>
  <c r="M25" i="152"/>
  <c r="M26" i="152"/>
  <c r="M27" i="152"/>
  <c r="M28" i="152"/>
  <c r="M29" i="152"/>
  <c r="M30" i="152"/>
  <c r="M31" i="152"/>
  <c r="M32" i="152"/>
  <c r="M33" i="152"/>
  <c r="M34" i="152"/>
  <c r="M35" i="152"/>
  <c r="M36" i="152"/>
  <c r="K17" i="152"/>
  <c r="A17" i="152"/>
  <c r="M16" i="152"/>
  <c r="K16" i="152"/>
  <c r="B6" i="152"/>
  <c r="J33" i="10"/>
  <c r="J35" i="10" s="1"/>
  <c r="I33" i="10"/>
  <c r="I35" i="10" s="1"/>
  <c r="H33" i="10"/>
  <c r="G33" i="10"/>
  <c r="G35" i="10" s="1"/>
  <c r="F33" i="10"/>
  <c r="F35" i="10" s="1"/>
  <c r="E33" i="10"/>
  <c r="D33" i="10"/>
  <c r="K31" i="10"/>
  <c r="K30" i="10"/>
  <c r="K29" i="10"/>
  <c r="K28" i="10"/>
  <c r="K27" i="10"/>
  <c r="K26" i="10"/>
  <c r="K25" i="10"/>
  <c r="K24" i="10"/>
  <c r="K33" i="10" s="1"/>
  <c r="K23" i="10"/>
  <c r="J21" i="10"/>
  <c r="I21" i="10"/>
  <c r="H21" i="10"/>
  <c r="G21" i="10"/>
  <c r="F21" i="10"/>
  <c r="E21" i="10"/>
  <c r="E35" i="10"/>
  <c r="D21" i="10"/>
  <c r="K19" i="10"/>
  <c r="K18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K17" i="10"/>
  <c r="M16" i="10"/>
  <c r="K16" i="10"/>
  <c r="A16" i="10"/>
  <c r="A17" i="10"/>
  <c r="A18" i="10"/>
  <c r="A19" i="10"/>
  <c r="M15" i="10"/>
  <c r="K15" i="10"/>
  <c r="I32" i="165"/>
  <c r="I16" i="165"/>
  <c r="E11" i="34" s="1"/>
  <c r="K22" i="152"/>
  <c r="D35" i="10"/>
  <c r="H35" i="10"/>
  <c r="K21" i="10"/>
  <c r="A20" i="165"/>
  <c r="A21" i="165"/>
  <c r="A22" i="165"/>
  <c r="A23" i="165"/>
  <c r="A24" i="165"/>
  <c r="K16" i="165"/>
  <c r="A21" i="152"/>
  <c r="A22" i="152"/>
  <c r="L22" i="152"/>
  <c r="L21" i="10"/>
  <c r="A20" i="10"/>
  <c r="A21" i="10"/>
  <c r="A25" i="165"/>
  <c r="A26" i="165"/>
  <c r="A27" i="165"/>
  <c r="A28" i="165"/>
  <c r="A29" i="165"/>
  <c r="A30" i="165"/>
  <c r="K21" i="165"/>
  <c r="A23" i="152"/>
  <c r="A24" i="152"/>
  <c r="A22" i="10"/>
  <c r="A23" i="10"/>
  <c r="A31" i="165"/>
  <c r="A32" i="165"/>
  <c r="A33" i="165"/>
  <c r="A34" i="165"/>
  <c r="A35" i="165"/>
  <c r="K26" i="165"/>
  <c r="A25" i="152"/>
  <c r="A26" i="152"/>
  <c r="A27" i="152"/>
  <c r="A28" i="152"/>
  <c r="A29" i="152"/>
  <c r="A30" i="152"/>
  <c r="A31" i="152"/>
  <c r="A32" i="152"/>
  <c r="A33" i="152"/>
  <c r="A34" i="152"/>
  <c r="A24" i="10"/>
  <c r="A25" i="10"/>
  <c r="A26" i="10"/>
  <c r="A27" i="10"/>
  <c r="A28" i="10"/>
  <c r="A29" i="10"/>
  <c r="A30" i="10"/>
  <c r="A31" i="10"/>
  <c r="A32" i="10"/>
  <c r="A33" i="10"/>
  <c r="A36" i="165"/>
  <c r="A37" i="165"/>
  <c r="A38" i="165"/>
  <c r="A39" i="165"/>
  <c r="A40" i="165"/>
  <c r="K32" i="165"/>
  <c r="A35" i="152"/>
  <c r="A36" i="152"/>
  <c r="L36" i="152"/>
  <c r="L34" i="152"/>
  <c r="A34" i="10"/>
  <c r="A35" i="10"/>
  <c r="L35" i="10"/>
  <c r="L33" i="10"/>
  <c r="A41" i="165"/>
  <c r="A42" i="165"/>
  <c r="A43" i="165"/>
  <c r="A44" i="165"/>
  <c r="A45" i="165"/>
  <c r="K37" i="165"/>
  <c r="K42" i="165"/>
  <c r="D17" i="157"/>
  <c r="F17" i="157"/>
  <c r="B5" i="168"/>
  <c r="B26" i="168"/>
  <c r="B15" i="168"/>
  <c r="B14" i="168"/>
  <c r="E28" i="168"/>
  <c r="E31" i="168"/>
  <c r="E34" i="9"/>
  <c r="C28" i="168"/>
  <c r="C31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G14" i="168"/>
  <c r="G15" i="168"/>
  <c r="G16" i="168"/>
  <c r="G17" i="168"/>
  <c r="G18" i="168"/>
  <c r="G19" i="168"/>
  <c r="G20" i="168"/>
  <c r="G21" i="168"/>
  <c r="G22" i="168"/>
  <c r="G23" i="168"/>
  <c r="G24" i="168"/>
  <c r="G25" i="168"/>
  <c r="G26" i="168"/>
  <c r="G27" i="168"/>
  <c r="G28" i="168"/>
  <c r="G29" i="168"/>
  <c r="G30" i="168"/>
  <c r="G31" i="168"/>
  <c r="G32" i="168"/>
  <c r="D31" i="168"/>
  <c r="F28" i="168"/>
  <c r="F31" i="168"/>
  <c r="D28" i="168"/>
  <c r="A27" i="168"/>
  <c r="A28" i="168"/>
  <c r="A29" i="168"/>
  <c r="A30" i="168"/>
  <c r="A31" i="168"/>
  <c r="A32" i="168"/>
  <c r="G21" i="66"/>
  <c r="B5" i="154"/>
  <c r="E38" i="114"/>
  <c r="C26" i="113"/>
  <c r="C26" i="84"/>
  <c r="G87" i="82" s="1"/>
  <c r="G98" i="82" s="1"/>
  <c r="E52" i="150"/>
  <c r="F12" i="150"/>
  <c r="F13" i="150"/>
  <c r="F14" i="150"/>
  <c r="F15" i="150"/>
  <c r="F16" i="150"/>
  <c r="F17" i="150"/>
  <c r="F18" i="150"/>
  <c r="F19" i="150"/>
  <c r="F20" i="150"/>
  <c r="F21" i="150"/>
  <c r="F22" i="150"/>
  <c r="F23" i="150"/>
  <c r="F24" i="150"/>
  <c r="F25" i="150"/>
  <c r="F26" i="150"/>
  <c r="F27" i="150"/>
  <c r="F28" i="150"/>
  <c r="F29" i="150"/>
  <c r="F30" i="150"/>
  <c r="F31" i="150"/>
  <c r="F32" i="150"/>
  <c r="F33" i="150"/>
  <c r="F34" i="150"/>
  <c r="F35" i="150"/>
  <c r="F36" i="150"/>
  <c r="F37" i="150"/>
  <c r="F38" i="150"/>
  <c r="F39" i="150"/>
  <c r="F40" i="150"/>
  <c r="F41" i="150"/>
  <c r="F42" i="150"/>
  <c r="F43" i="150"/>
  <c r="F44" i="150"/>
  <c r="F45" i="150"/>
  <c r="F46" i="150"/>
  <c r="F47" i="150"/>
  <c r="F48" i="150"/>
  <c r="F49" i="150"/>
  <c r="F50" i="150"/>
  <c r="F51" i="150"/>
  <c r="F52" i="150"/>
  <c r="F53" i="150"/>
  <c r="F54" i="150"/>
  <c r="F55" i="150"/>
  <c r="F56" i="150"/>
  <c r="F57" i="150"/>
  <c r="F58" i="150"/>
  <c r="F59" i="150"/>
  <c r="F60" i="150"/>
  <c r="E24" i="150"/>
  <c r="C50" i="42"/>
  <c r="B5" i="84"/>
  <c r="B5" i="112"/>
  <c r="K15" i="11"/>
  <c r="K16" i="11"/>
  <c r="K17" i="11"/>
  <c r="K21" i="11" s="1"/>
  <c r="K18" i="11"/>
  <c r="K19" i="11"/>
  <c r="D21" i="11"/>
  <c r="E21" i="11"/>
  <c r="F21" i="11"/>
  <c r="F35" i="11" s="1"/>
  <c r="G21" i="11"/>
  <c r="H21" i="11"/>
  <c r="I21" i="11"/>
  <c r="J21" i="11"/>
  <c r="K23" i="11"/>
  <c r="K24" i="11"/>
  <c r="K25" i="11"/>
  <c r="K26" i="11"/>
  <c r="K27" i="11"/>
  <c r="K28" i="11"/>
  <c r="K29" i="11"/>
  <c r="B5" i="161"/>
  <c r="J40" i="167"/>
  <c r="B2" i="158"/>
  <c r="B2" i="157"/>
  <c r="B2" i="154"/>
  <c r="B2" i="156"/>
  <c r="B2" i="114"/>
  <c r="B2" i="113"/>
  <c r="B38" i="113"/>
  <c r="B2" i="111"/>
  <c r="B3" i="158"/>
  <c r="G31" i="46"/>
  <c r="C42" i="154"/>
  <c r="C44" i="154"/>
  <c r="B52" i="146"/>
  <c r="B51" i="146"/>
  <c r="G27" i="46"/>
  <c r="G25" i="46"/>
  <c r="G23" i="46"/>
  <c r="G21" i="46"/>
  <c r="G93" i="113"/>
  <c r="G15" i="46"/>
  <c r="E15" i="46"/>
  <c r="E23" i="41"/>
  <c r="F23" i="41" s="1"/>
  <c r="B71" i="40"/>
  <c r="B27" i="163"/>
  <c r="B16" i="163"/>
  <c r="B15" i="163"/>
  <c r="B5" i="163"/>
  <c r="B5" i="9"/>
  <c r="G146" i="82"/>
  <c r="G143" i="82"/>
  <c r="G134" i="82"/>
  <c r="G144" i="82"/>
  <c r="J126" i="82"/>
  <c r="J127" i="82"/>
  <c r="J128" i="82"/>
  <c r="J129" i="82"/>
  <c r="J130" i="82"/>
  <c r="J131" i="82"/>
  <c r="J132" i="82"/>
  <c r="J133" i="82"/>
  <c r="J134" i="82"/>
  <c r="J135" i="82"/>
  <c r="J136" i="82"/>
  <c r="J137" i="82"/>
  <c r="J138" i="82"/>
  <c r="J139" i="82"/>
  <c r="J140" i="82"/>
  <c r="J141" i="82"/>
  <c r="J142" i="82"/>
  <c r="J143" i="82"/>
  <c r="J144" i="82"/>
  <c r="J145" i="82"/>
  <c r="J146" i="82"/>
  <c r="J147" i="82"/>
  <c r="J148" i="82"/>
  <c r="J149" i="82"/>
  <c r="J150" i="82"/>
  <c r="J151" i="82"/>
  <c r="J152" i="82"/>
  <c r="J153" i="82"/>
  <c r="J154" i="82"/>
  <c r="J155" i="82"/>
  <c r="B146" i="82"/>
  <c r="B145" i="82"/>
  <c r="B143" i="82"/>
  <c r="B142" i="82"/>
  <c r="B134" i="82"/>
  <c r="B131" i="82"/>
  <c r="B130" i="82"/>
  <c r="A126" i="82"/>
  <c r="A127" i="82"/>
  <c r="A128" i="82"/>
  <c r="A129" i="82"/>
  <c r="A130" i="82"/>
  <c r="A131" i="82"/>
  <c r="A132" i="82"/>
  <c r="A133" i="82"/>
  <c r="A134" i="82"/>
  <c r="A135" i="82"/>
  <c r="A136" i="82"/>
  <c r="A137" i="82"/>
  <c r="A138" i="82"/>
  <c r="A139" i="82"/>
  <c r="A140" i="82"/>
  <c r="A141" i="82"/>
  <c r="A142" i="82"/>
  <c r="A143" i="82"/>
  <c r="A144" i="82"/>
  <c r="A145" i="82"/>
  <c r="A146" i="82"/>
  <c r="A147" i="82"/>
  <c r="A148" i="82"/>
  <c r="A149" i="82"/>
  <c r="A150" i="82"/>
  <c r="A151" i="82"/>
  <c r="A152" i="82"/>
  <c r="A153" i="82"/>
  <c r="A154" i="82"/>
  <c r="A155" i="82"/>
  <c r="H10" i="162"/>
  <c r="H11" i="162"/>
  <c r="H12" i="162"/>
  <c r="H13" i="162"/>
  <c r="H14" i="162"/>
  <c r="H15" i="162"/>
  <c r="H16" i="162"/>
  <c r="A11" i="162"/>
  <c r="A12" i="162"/>
  <c r="A13" i="162"/>
  <c r="A14" i="162"/>
  <c r="A15" i="162"/>
  <c r="A16" i="162"/>
  <c r="I142" i="82"/>
  <c r="I143" i="82"/>
  <c r="I151" i="82"/>
  <c r="I144" i="82"/>
  <c r="I145" i="82"/>
  <c r="I155" i="82"/>
  <c r="E84" i="146"/>
  <c r="F80" i="146"/>
  <c r="F81" i="146"/>
  <c r="F82" i="146"/>
  <c r="F83" i="146"/>
  <c r="F84" i="146"/>
  <c r="F60" i="146"/>
  <c r="F61" i="146"/>
  <c r="F62" i="146"/>
  <c r="F63" i="146"/>
  <c r="F64" i="146"/>
  <c r="F65" i="146"/>
  <c r="F66" i="146"/>
  <c r="F67" i="146"/>
  <c r="F68" i="146"/>
  <c r="F69" i="146"/>
  <c r="F70" i="146"/>
  <c r="F71" i="146"/>
  <c r="F72" i="146"/>
  <c r="F73" i="146"/>
  <c r="F74" i="146"/>
  <c r="F75" i="146"/>
  <c r="F76" i="146"/>
  <c r="F77" i="146"/>
  <c r="F78" i="146"/>
  <c r="F79" i="146"/>
  <c r="J45" i="167"/>
  <c r="I45" i="167"/>
  <c r="G21" i="34"/>
  <c r="G42" i="167"/>
  <c r="E42" i="167"/>
  <c r="C42" i="167"/>
  <c r="I41" i="167"/>
  <c r="I40" i="167"/>
  <c r="G37" i="167"/>
  <c r="E37" i="167"/>
  <c r="C37" i="167"/>
  <c r="I36" i="167"/>
  <c r="I35" i="167"/>
  <c r="G32" i="167"/>
  <c r="E32" i="167"/>
  <c r="C32" i="167"/>
  <c r="I31" i="167"/>
  <c r="I30" i="167"/>
  <c r="G26" i="167"/>
  <c r="E26" i="167"/>
  <c r="C26" i="167"/>
  <c r="I25" i="167"/>
  <c r="I24" i="167"/>
  <c r="G21" i="167"/>
  <c r="E21" i="167"/>
  <c r="C21" i="167"/>
  <c r="I20" i="167"/>
  <c r="I19" i="167"/>
  <c r="I21" i="167" s="1"/>
  <c r="G16" i="167"/>
  <c r="E16" i="167"/>
  <c r="C16" i="167"/>
  <c r="I15" i="167"/>
  <c r="I14" i="167"/>
  <c r="I13" i="167"/>
  <c r="A13" i="167"/>
  <c r="K12" i="167"/>
  <c r="K13" i="167"/>
  <c r="K14" i="167"/>
  <c r="K15" i="167"/>
  <c r="K16" i="167"/>
  <c r="K17" i="167"/>
  <c r="K18" i="167"/>
  <c r="K19" i="167"/>
  <c r="K20" i="167"/>
  <c r="K21" i="167"/>
  <c r="K22" i="167"/>
  <c r="K23" i="167"/>
  <c r="K24" i="167"/>
  <c r="K25" i="167"/>
  <c r="K26" i="167"/>
  <c r="K27" i="167"/>
  <c r="K28" i="167"/>
  <c r="K29" i="167"/>
  <c r="K30" i="167"/>
  <c r="K31" i="167"/>
  <c r="K32" i="167"/>
  <c r="K33" i="167"/>
  <c r="K34" i="167"/>
  <c r="K35" i="167"/>
  <c r="K36" i="167"/>
  <c r="K37" i="167"/>
  <c r="K38" i="167"/>
  <c r="K39" i="167"/>
  <c r="K40" i="167"/>
  <c r="K41" i="167"/>
  <c r="K42" i="167"/>
  <c r="K43" i="167"/>
  <c r="K44" i="167"/>
  <c r="K45" i="167"/>
  <c r="E21" i="34"/>
  <c r="A14" i="167"/>
  <c r="A15" i="167"/>
  <c r="A16" i="167"/>
  <c r="A17" i="167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J16" i="167"/>
  <c r="I32" i="167"/>
  <c r="I37" i="167"/>
  <c r="I42" i="167"/>
  <c r="C84" i="146"/>
  <c r="I26" i="167"/>
  <c r="G15" i="34"/>
  <c r="I16" i="167"/>
  <c r="A31" i="167"/>
  <c r="A32" i="167"/>
  <c r="A33" i="167"/>
  <c r="A34" i="167"/>
  <c r="A35" i="167"/>
  <c r="J32" i="167"/>
  <c r="G11" i="34"/>
  <c r="J21" i="167"/>
  <c r="A36" i="167"/>
  <c r="A37" i="167"/>
  <c r="A38" i="167"/>
  <c r="A39" i="167"/>
  <c r="A40" i="167"/>
  <c r="J37" i="167"/>
  <c r="J26" i="167"/>
  <c r="A41" i="167"/>
  <c r="A42" i="167"/>
  <c r="A43" i="167"/>
  <c r="A44" i="167"/>
  <c r="A45" i="167"/>
  <c r="J42" i="167"/>
  <c r="K11" i="34"/>
  <c r="K13" i="34"/>
  <c r="I23" i="34"/>
  <c r="C46" i="146"/>
  <c r="I19" i="34"/>
  <c r="C41" i="146"/>
  <c r="E29" i="163"/>
  <c r="E32" i="163"/>
  <c r="I23" i="2"/>
  <c r="C29" i="163"/>
  <c r="C32" i="163"/>
  <c r="A16" i="163"/>
  <c r="A17" i="163"/>
  <c r="A18" i="163"/>
  <c r="A19" i="163"/>
  <c r="A20" i="163"/>
  <c r="A21" i="163"/>
  <c r="A22" i="163"/>
  <c r="A23" i="163"/>
  <c r="A24" i="163"/>
  <c r="A25" i="163"/>
  <c r="A26" i="163"/>
  <c r="A27" i="163"/>
  <c r="G15" i="163"/>
  <c r="G16" i="163"/>
  <c r="G17" i="163"/>
  <c r="G18" i="163"/>
  <c r="G19" i="163"/>
  <c r="G20" i="163"/>
  <c r="G21" i="163"/>
  <c r="G22" i="163"/>
  <c r="G23" i="163"/>
  <c r="G24" i="163"/>
  <c r="G25" i="163"/>
  <c r="G26" i="163"/>
  <c r="G27" i="163"/>
  <c r="G28" i="163"/>
  <c r="G29" i="163"/>
  <c r="G30" i="163"/>
  <c r="G31" i="163"/>
  <c r="G32" i="163"/>
  <c r="G33" i="163"/>
  <c r="K15" i="34"/>
  <c r="D32" i="163"/>
  <c r="F29" i="163"/>
  <c r="F32" i="163"/>
  <c r="D29" i="163"/>
  <c r="A28" i="163"/>
  <c r="A29" i="163"/>
  <c r="A30" i="163"/>
  <c r="A31" i="163"/>
  <c r="A32" i="163"/>
  <c r="A33" i="163"/>
  <c r="K23" i="2"/>
  <c r="K21" i="34"/>
  <c r="D34" i="154"/>
  <c r="C46" i="112"/>
  <c r="D34" i="112"/>
  <c r="E19" i="146"/>
  <c r="C34" i="146"/>
  <c r="C20" i="146"/>
  <c r="E33" i="161"/>
  <c r="C33" i="161"/>
  <c r="G32" i="161"/>
  <c r="G31" i="161"/>
  <c r="G30" i="161"/>
  <c r="G29" i="161"/>
  <c r="G28" i="161"/>
  <c r="E25" i="161"/>
  <c r="C25" i="161"/>
  <c r="G24" i="161"/>
  <c r="G23" i="161"/>
  <c r="G22" i="161"/>
  <c r="G21" i="161"/>
  <c r="E18" i="161"/>
  <c r="C18" i="161"/>
  <c r="G17" i="161"/>
  <c r="G16" i="161"/>
  <c r="G15" i="161"/>
  <c r="G14" i="161"/>
  <c r="G13" i="161"/>
  <c r="A13" i="161"/>
  <c r="A14" i="161"/>
  <c r="A15" i="161"/>
  <c r="A16" i="161"/>
  <c r="A17" i="161"/>
  <c r="I12" i="161"/>
  <c r="I13" i="161"/>
  <c r="I14" i="161"/>
  <c r="I15" i="161"/>
  <c r="I16" i="161"/>
  <c r="I17" i="161"/>
  <c r="I18" i="161"/>
  <c r="I19" i="161"/>
  <c r="I20" i="161"/>
  <c r="I21" i="161"/>
  <c r="I22" i="161"/>
  <c r="I23" i="161"/>
  <c r="I24" i="161"/>
  <c r="I25" i="161"/>
  <c r="I26" i="161"/>
  <c r="I27" i="161"/>
  <c r="I28" i="161"/>
  <c r="I29" i="161"/>
  <c r="I30" i="161"/>
  <c r="I31" i="161"/>
  <c r="I32" i="161"/>
  <c r="I33" i="161"/>
  <c r="G33" i="161"/>
  <c r="E16" i="75"/>
  <c r="G18" i="161"/>
  <c r="E14" i="75"/>
  <c r="G25" i="161"/>
  <c r="E15" i="75"/>
  <c r="E20" i="146"/>
  <c r="E34" i="146"/>
  <c r="H18" i="161"/>
  <c r="A18" i="161"/>
  <c r="A19" i="161"/>
  <c r="A20" i="161"/>
  <c r="A21" i="161"/>
  <c r="G14" i="75"/>
  <c r="A22" i="161"/>
  <c r="A23" i="161"/>
  <c r="A24" i="161"/>
  <c r="A25" i="161"/>
  <c r="A26" i="161"/>
  <c r="A27" i="161"/>
  <c r="A28" i="161"/>
  <c r="G15" i="75"/>
  <c r="H25" i="161"/>
  <c r="A29" i="161"/>
  <c r="A30" i="161"/>
  <c r="A31" i="161"/>
  <c r="A32" i="161"/>
  <c r="A33" i="161"/>
  <c r="G16" i="75"/>
  <c r="H33" i="161"/>
  <c r="D12" i="159"/>
  <c r="G19" i="75"/>
  <c r="E19" i="41"/>
  <c r="F19" i="41" s="1"/>
  <c r="D21" i="154"/>
  <c r="D19" i="154"/>
  <c r="D15" i="154"/>
  <c r="D13" i="154"/>
  <c r="D11" i="154"/>
  <c r="C17" i="154"/>
  <c r="C46" i="154"/>
  <c r="C38" i="154"/>
  <c r="C36" i="154"/>
  <c r="C34" i="154"/>
  <c r="B52" i="154"/>
  <c r="B46" i="154"/>
  <c r="B44" i="154"/>
  <c r="B42" i="154"/>
  <c r="B38" i="154"/>
  <c r="B36" i="154"/>
  <c r="B34" i="154"/>
  <c r="D32" i="154"/>
  <c r="C32" i="154"/>
  <c r="C40" i="154"/>
  <c r="B5" i="159"/>
  <c r="A13" i="159"/>
  <c r="A14" i="159"/>
  <c r="A15" i="159"/>
  <c r="A16" i="159"/>
  <c r="A17" i="159"/>
  <c r="G12" i="159"/>
  <c r="G13" i="159"/>
  <c r="G14" i="159"/>
  <c r="G15" i="159"/>
  <c r="G16" i="159"/>
  <c r="G17" i="159"/>
  <c r="C16" i="159"/>
  <c r="F16" i="159"/>
  <c r="E13" i="135"/>
  <c r="E11" i="135"/>
  <c r="E15" i="135" s="1"/>
  <c r="G14" i="114" s="1"/>
  <c r="B46" i="112"/>
  <c r="D32" i="112"/>
  <c r="C32" i="112"/>
  <c r="B42" i="113"/>
  <c r="B40" i="113"/>
  <c r="C17" i="158"/>
  <c r="D17" i="158"/>
  <c r="D24" i="158" s="1"/>
  <c r="E28" i="157"/>
  <c r="E27" i="157"/>
  <c r="E26" i="157"/>
  <c r="E25" i="157"/>
  <c r="E24" i="157"/>
  <c r="E23" i="157"/>
  <c r="E22" i="157"/>
  <c r="E21" i="157"/>
  <c r="E20" i="157"/>
  <c r="E19" i="157"/>
  <c r="E18" i="157"/>
  <c r="E17" i="157"/>
  <c r="B4" i="157"/>
  <c r="B4" i="158"/>
  <c r="B3" i="157"/>
  <c r="B3" i="156"/>
  <c r="B5" i="158"/>
  <c r="B5" i="157"/>
  <c r="C17" i="157" s="1"/>
  <c r="D28" i="158"/>
  <c r="C25" i="158"/>
  <c r="I12" i="158"/>
  <c r="H12" i="158"/>
  <c r="G12" i="158"/>
  <c r="F12" i="158"/>
  <c r="E12" i="158"/>
  <c r="A12" i="158"/>
  <c r="A13" i="158"/>
  <c r="A14" i="158"/>
  <c r="A15" i="158"/>
  <c r="A16" i="158"/>
  <c r="A17" i="158"/>
  <c r="A18" i="158"/>
  <c r="A19" i="158"/>
  <c r="A20" i="158"/>
  <c r="A21" i="158"/>
  <c r="A22" i="158"/>
  <c r="A23" i="158"/>
  <c r="A24" i="158"/>
  <c r="A25" i="158"/>
  <c r="A26" i="158"/>
  <c r="A27" i="158"/>
  <c r="A28" i="158"/>
  <c r="A29" i="158"/>
  <c r="A30" i="158"/>
  <c r="D21" i="112"/>
  <c r="J11" i="158"/>
  <c r="J12" i="158"/>
  <c r="J13" i="158"/>
  <c r="J14" i="158"/>
  <c r="J15" i="158"/>
  <c r="J16" i="158"/>
  <c r="J17" i="158"/>
  <c r="J18" i="158"/>
  <c r="J19" i="158"/>
  <c r="J20" i="158"/>
  <c r="J21" i="158"/>
  <c r="J22" i="158"/>
  <c r="J23" i="158"/>
  <c r="J24" i="158"/>
  <c r="J25" i="158"/>
  <c r="J26" i="158"/>
  <c r="J27" i="158"/>
  <c r="J28" i="158"/>
  <c r="J29" i="158"/>
  <c r="J30" i="158"/>
  <c r="H12" i="157"/>
  <c r="G12" i="157"/>
  <c r="F12" i="157"/>
  <c r="E12" i="157"/>
  <c r="A12" i="157"/>
  <c r="A13" i="157"/>
  <c r="A14" i="157"/>
  <c r="A15" i="157"/>
  <c r="A16" i="157"/>
  <c r="A17" i="157"/>
  <c r="A18" i="157"/>
  <c r="A19" i="157"/>
  <c r="A20" i="157"/>
  <c r="A21" i="157"/>
  <c r="A22" i="157"/>
  <c r="A23" i="157"/>
  <c r="A24" i="157"/>
  <c r="A25" i="157"/>
  <c r="A26" i="157"/>
  <c r="A27" i="157"/>
  <c r="A28" i="157"/>
  <c r="A29" i="157"/>
  <c r="B38" i="158"/>
  <c r="I11" i="157"/>
  <c r="I12" i="157"/>
  <c r="I13" i="157"/>
  <c r="I14" i="157"/>
  <c r="I15" i="157"/>
  <c r="I16" i="157"/>
  <c r="I17" i="157"/>
  <c r="I18" i="157"/>
  <c r="I19" i="157"/>
  <c r="I20" i="157"/>
  <c r="I21" i="157"/>
  <c r="I22" i="157"/>
  <c r="I23" i="157"/>
  <c r="I24" i="157"/>
  <c r="I25" i="157"/>
  <c r="I26" i="157"/>
  <c r="I27" i="157"/>
  <c r="I28" i="157"/>
  <c r="I29" i="157"/>
  <c r="M12" i="156"/>
  <c r="L12" i="156"/>
  <c r="K12" i="156"/>
  <c r="I12" i="156"/>
  <c r="H12" i="156"/>
  <c r="A11" i="156"/>
  <c r="A12" i="156"/>
  <c r="A13" i="156"/>
  <c r="A14" i="156"/>
  <c r="A15" i="156"/>
  <c r="A16" i="156"/>
  <c r="A17" i="156"/>
  <c r="A18" i="156"/>
  <c r="A19" i="156"/>
  <c r="A20" i="156"/>
  <c r="A21" i="156"/>
  <c r="A22" i="156"/>
  <c r="A23" i="156"/>
  <c r="A24" i="156"/>
  <c r="A25" i="156"/>
  <c r="A26" i="156"/>
  <c r="A27" i="156"/>
  <c r="A28" i="156"/>
  <c r="A29" i="156"/>
  <c r="A30" i="156"/>
  <c r="D19" i="112"/>
  <c r="N11" i="156"/>
  <c r="N12" i="156"/>
  <c r="N13" i="156"/>
  <c r="N14" i="156"/>
  <c r="N15" i="156"/>
  <c r="N16" i="156"/>
  <c r="N17" i="156"/>
  <c r="N18" i="156"/>
  <c r="N19" i="156"/>
  <c r="N20" i="156"/>
  <c r="N21" i="156"/>
  <c r="N22" i="156"/>
  <c r="N23" i="156"/>
  <c r="N24" i="156"/>
  <c r="N25" i="156"/>
  <c r="N26" i="156"/>
  <c r="N27" i="156"/>
  <c r="N28" i="156"/>
  <c r="N29" i="156"/>
  <c r="N30" i="156"/>
  <c r="N31" i="156"/>
  <c r="C19" i="156"/>
  <c r="A31" i="156"/>
  <c r="F12" i="156"/>
  <c r="C19" i="158"/>
  <c r="C23" i="158"/>
  <c r="C27" i="158"/>
  <c r="C18" i="158"/>
  <c r="C20" i="158"/>
  <c r="C22" i="158"/>
  <c r="C24" i="158"/>
  <c r="C26" i="158"/>
  <c r="C28" i="158"/>
  <c r="D19" i="158"/>
  <c r="C21" i="158"/>
  <c r="D23" i="158"/>
  <c r="D27" i="158"/>
  <c r="D18" i="158"/>
  <c r="D22" i="158"/>
  <c r="D26" i="158"/>
  <c r="D21" i="158"/>
  <c r="C27" i="156"/>
  <c r="C26" i="156"/>
  <c r="C23" i="156"/>
  <c r="C25" i="156"/>
  <c r="C24" i="156"/>
  <c r="C29" i="156"/>
  <c r="C28" i="156"/>
  <c r="C21" i="156"/>
  <c r="C20" i="156"/>
  <c r="C30" i="156"/>
  <c r="C22" i="156"/>
  <c r="E26" i="136"/>
  <c r="E25" i="136"/>
  <c r="E24" i="136"/>
  <c r="E23" i="136"/>
  <c r="E22" i="136"/>
  <c r="E21" i="136"/>
  <c r="E20" i="136"/>
  <c r="E19" i="136"/>
  <c r="E18" i="136"/>
  <c r="E17" i="136"/>
  <c r="E28" i="136" s="1"/>
  <c r="E31" i="136" s="1"/>
  <c r="E34" i="23" s="1"/>
  <c r="E16" i="136"/>
  <c r="E15" i="136"/>
  <c r="E14" i="136"/>
  <c r="A12" i="154"/>
  <c r="A13" i="154"/>
  <c r="D36" i="154"/>
  <c r="E11" i="154"/>
  <c r="E12" i="154"/>
  <c r="E13" i="154"/>
  <c r="E14" i="154"/>
  <c r="E15" i="154"/>
  <c r="E16" i="154"/>
  <c r="E17" i="154"/>
  <c r="E18" i="154"/>
  <c r="E19" i="154"/>
  <c r="E20" i="154"/>
  <c r="E21" i="154"/>
  <c r="E22" i="154"/>
  <c r="E23" i="154"/>
  <c r="E24" i="154"/>
  <c r="E25" i="154"/>
  <c r="E26" i="154"/>
  <c r="E27" i="154"/>
  <c r="E28" i="154"/>
  <c r="E33" i="154"/>
  <c r="E34" i="154"/>
  <c r="E35" i="154"/>
  <c r="E36" i="154"/>
  <c r="E37" i="154"/>
  <c r="E38" i="154"/>
  <c r="E39" i="154"/>
  <c r="E40" i="154"/>
  <c r="E41" i="154"/>
  <c r="E42" i="154"/>
  <c r="E43" i="154"/>
  <c r="E44" i="154"/>
  <c r="E45" i="154"/>
  <c r="E46" i="154"/>
  <c r="E47" i="154"/>
  <c r="E48" i="154"/>
  <c r="E49" i="154"/>
  <c r="E50" i="154"/>
  <c r="E51" i="154"/>
  <c r="E52" i="154"/>
  <c r="E53" i="154"/>
  <c r="A14" i="154"/>
  <c r="A15" i="154"/>
  <c r="D38" i="154"/>
  <c r="D17" i="154"/>
  <c r="A16" i="154"/>
  <c r="B3" i="85"/>
  <c r="A17" i="154"/>
  <c r="A18" i="154"/>
  <c r="A19" i="154"/>
  <c r="D42" i="154"/>
  <c r="B2" i="135"/>
  <c r="A20" i="154"/>
  <c r="A21" i="154"/>
  <c r="D44" i="154"/>
  <c r="A22" i="154"/>
  <c r="A23" i="154"/>
  <c r="D23" i="154"/>
  <c r="B3" i="114"/>
  <c r="B3" i="113"/>
  <c r="B3" i="111"/>
  <c r="A24" i="154"/>
  <c r="A25" i="154"/>
  <c r="B39" i="113"/>
  <c r="D27" i="154"/>
  <c r="D46" i="154"/>
  <c r="A26" i="154"/>
  <c r="A27" i="154"/>
  <c r="A28" i="154"/>
  <c r="A33" i="154"/>
  <c r="A34" i="154"/>
  <c r="A35" i="154"/>
  <c r="A36" i="154"/>
  <c r="A37" i="154"/>
  <c r="A38" i="154"/>
  <c r="A39" i="154"/>
  <c r="A40" i="154"/>
  <c r="D54" i="153"/>
  <c r="D53" i="153"/>
  <c r="D52" i="153"/>
  <c r="D51" i="153"/>
  <c r="D50" i="153"/>
  <c r="D49" i="153"/>
  <c r="D48" i="153"/>
  <c r="D47" i="153"/>
  <c r="D46" i="153"/>
  <c r="D45" i="153"/>
  <c r="D44" i="153"/>
  <c r="D43" i="153"/>
  <c r="D42" i="153"/>
  <c r="D41" i="153"/>
  <c r="D40" i="153"/>
  <c r="D39" i="153"/>
  <c r="D38" i="153"/>
  <c r="D37" i="153"/>
  <c r="D36" i="153"/>
  <c r="D35" i="153"/>
  <c r="D34" i="153"/>
  <c r="D33" i="153"/>
  <c r="D32" i="153"/>
  <c r="D31" i="153"/>
  <c r="D30" i="153"/>
  <c r="D29" i="153"/>
  <c r="D28" i="153"/>
  <c r="D27" i="153"/>
  <c r="D26" i="153"/>
  <c r="D25" i="153"/>
  <c r="D24" i="153"/>
  <c r="D23" i="153"/>
  <c r="D22" i="153"/>
  <c r="D21" i="153"/>
  <c r="D20" i="153"/>
  <c r="D19" i="153"/>
  <c r="D18" i="153"/>
  <c r="D17" i="153"/>
  <c r="D16" i="153"/>
  <c r="D15" i="153"/>
  <c r="D14" i="153"/>
  <c r="D13" i="153"/>
  <c r="D12" i="153"/>
  <c r="D11" i="153"/>
  <c r="D10" i="153"/>
  <c r="D40" i="154"/>
  <c r="A41" i="154"/>
  <c r="A42" i="154"/>
  <c r="A43" i="154"/>
  <c r="A44" i="154"/>
  <c r="A45" i="154"/>
  <c r="A46" i="154"/>
  <c r="A47" i="154"/>
  <c r="A48" i="154"/>
  <c r="A49" i="154"/>
  <c r="A50" i="154"/>
  <c r="A51" i="154"/>
  <c r="A52" i="154"/>
  <c r="A53" i="154"/>
  <c r="D52" i="154"/>
  <c r="D48" i="154"/>
  <c r="E20" i="8"/>
  <c r="E26" i="150"/>
  <c r="E25" i="150"/>
  <c r="D9" i="153"/>
  <c r="C72" i="41"/>
  <c r="B52" i="112"/>
  <c r="B4" i="41"/>
  <c r="B5" i="150"/>
  <c r="B4" i="42"/>
  <c r="E17" i="75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A12" i="34"/>
  <c r="A13" i="34"/>
  <c r="A14" i="34"/>
  <c r="A15" i="34"/>
  <c r="B5" i="85"/>
  <c r="B6" i="84"/>
  <c r="A16" i="34"/>
  <c r="A17" i="34"/>
  <c r="A18" i="34"/>
  <c r="A19" i="34"/>
  <c r="A20" i="34"/>
  <c r="A21" i="34"/>
  <c r="A22" i="34"/>
  <c r="A23" i="34"/>
  <c r="K17" i="34"/>
  <c r="B5" i="71"/>
  <c r="B5" i="70"/>
  <c r="B4" i="153"/>
  <c r="B4" i="135"/>
  <c r="B3" i="153"/>
  <c r="A14" i="84"/>
  <c r="A15" i="84" s="1"/>
  <c r="A16" i="84" s="1"/>
  <c r="A17" i="84" s="1"/>
  <c r="A18" i="84" s="1"/>
  <c r="E16" i="111"/>
  <c r="C34" i="114"/>
  <c r="G13" i="66"/>
  <c r="E9" i="153"/>
  <c r="E10" i="153"/>
  <c r="E11" i="153"/>
  <c r="E12" i="153"/>
  <c r="E13" i="153"/>
  <c r="E14" i="153"/>
  <c r="E15" i="153"/>
  <c r="E16" i="153"/>
  <c r="E17" i="153"/>
  <c r="E18" i="153"/>
  <c r="E19" i="153"/>
  <c r="E20" i="153"/>
  <c r="E21" i="153"/>
  <c r="E22" i="153"/>
  <c r="E23" i="153"/>
  <c r="E24" i="153"/>
  <c r="E25" i="153"/>
  <c r="E26" i="153"/>
  <c r="E27" i="153"/>
  <c r="E28" i="153"/>
  <c r="E29" i="153"/>
  <c r="E30" i="153"/>
  <c r="E31" i="153"/>
  <c r="E32" i="153"/>
  <c r="E33" i="153"/>
  <c r="E34" i="153"/>
  <c r="E35" i="153"/>
  <c r="E36" i="153"/>
  <c r="E37" i="153"/>
  <c r="E38" i="153"/>
  <c r="E39" i="153"/>
  <c r="E40" i="153"/>
  <c r="E41" i="153"/>
  <c r="E42" i="153"/>
  <c r="E43" i="153"/>
  <c r="E44" i="153"/>
  <c r="E45" i="153"/>
  <c r="E46" i="153"/>
  <c r="E47" i="153"/>
  <c r="E48" i="153"/>
  <c r="E49" i="153"/>
  <c r="E50" i="153"/>
  <c r="E51" i="153"/>
  <c r="E52" i="153"/>
  <c r="E53" i="153"/>
  <c r="E54" i="153"/>
  <c r="E55" i="153"/>
  <c r="E56" i="153"/>
  <c r="E57" i="153"/>
  <c r="A10" i="153"/>
  <c r="A11" i="153"/>
  <c r="A12" i="153"/>
  <c r="A13" i="153"/>
  <c r="A14" i="153"/>
  <c r="A15" i="153"/>
  <c r="A16" i="153"/>
  <c r="A17" i="153"/>
  <c r="A18" i="153"/>
  <c r="A19" i="153"/>
  <c r="A20" i="153"/>
  <c r="A21" i="153"/>
  <c r="A22" i="153"/>
  <c r="A23" i="153"/>
  <c r="A24" i="153"/>
  <c r="A25" i="153"/>
  <c r="A26" i="153"/>
  <c r="A27" i="153"/>
  <c r="A28" i="153"/>
  <c r="A29" i="153"/>
  <c r="A30" i="153"/>
  <c r="A31" i="153"/>
  <c r="A32" i="153"/>
  <c r="A33" i="153"/>
  <c r="A34" i="153"/>
  <c r="A35" i="153"/>
  <c r="A36" i="153"/>
  <c r="A37" i="153"/>
  <c r="A38" i="153"/>
  <c r="A39" i="153"/>
  <c r="A40" i="153"/>
  <c r="A41" i="153"/>
  <c r="A42" i="153"/>
  <c r="A43" i="153"/>
  <c r="A44" i="153"/>
  <c r="A45" i="153"/>
  <c r="A46" i="153"/>
  <c r="A47" i="153"/>
  <c r="A48" i="153"/>
  <c r="A49" i="153"/>
  <c r="A50" i="153"/>
  <c r="A51" i="153"/>
  <c r="A52" i="153"/>
  <c r="A53" i="153"/>
  <c r="A54" i="153"/>
  <c r="A55" i="153"/>
  <c r="A56" i="153"/>
  <c r="A57" i="153"/>
  <c r="G12" i="40"/>
  <c r="D56" i="153"/>
  <c r="E12" i="40"/>
  <c r="E15" i="66"/>
  <c r="E19" i="66" s="1"/>
  <c r="E23" i="66" s="1"/>
  <c r="B5" i="111"/>
  <c r="B4" i="146" s="1"/>
  <c r="B53" i="146" s="1"/>
  <c r="B5" i="11"/>
  <c r="E68" i="146"/>
  <c r="F11" i="146"/>
  <c r="F12" i="146"/>
  <c r="F13" i="146"/>
  <c r="F14" i="146"/>
  <c r="G83" i="113"/>
  <c r="A12" i="146"/>
  <c r="A13" i="146"/>
  <c r="A14" i="146"/>
  <c r="A15" i="146"/>
  <c r="E25" i="146"/>
  <c r="E24" i="146"/>
  <c r="B4" i="162"/>
  <c r="F15" i="146"/>
  <c r="G85" i="113"/>
  <c r="E16" i="146"/>
  <c r="A16" i="146"/>
  <c r="G47" i="113"/>
  <c r="B5" i="34"/>
  <c r="B13" i="59"/>
  <c r="B17" i="27"/>
  <c r="B5" i="59"/>
  <c r="A14" i="59"/>
  <c r="A15" i="59"/>
  <c r="G17" i="46"/>
  <c r="F13" i="59"/>
  <c r="F14" i="59"/>
  <c r="F15" i="59"/>
  <c r="F16" i="59"/>
  <c r="B13" i="27"/>
  <c r="B5" i="27"/>
  <c r="A14" i="27"/>
  <c r="E15" i="27"/>
  <c r="F13" i="27"/>
  <c r="F14" i="27"/>
  <c r="F15" i="27"/>
  <c r="F16" i="27"/>
  <c r="F17" i="27"/>
  <c r="F18" i="27"/>
  <c r="F19" i="27"/>
  <c r="F20" i="27"/>
  <c r="F21" i="27"/>
  <c r="F22" i="27"/>
  <c r="F23" i="27"/>
  <c r="B17" i="14"/>
  <c r="B13" i="14"/>
  <c r="B5" i="14"/>
  <c r="A14" i="14"/>
  <c r="E15" i="14"/>
  <c r="F13" i="14"/>
  <c r="F14" i="14"/>
  <c r="F15" i="14"/>
  <c r="F16" i="14"/>
  <c r="F17" i="14"/>
  <c r="F18" i="14"/>
  <c r="F19" i="14"/>
  <c r="F20" i="14"/>
  <c r="F21" i="14"/>
  <c r="F22" i="14"/>
  <c r="F23" i="14"/>
  <c r="F16" i="146"/>
  <c r="F17" i="146"/>
  <c r="F18" i="146"/>
  <c r="F19" i="146"/>
  <c r="F20" i="146"/>
  <c r="F21" i="146"/>
  <c r="F22" i="146"/>
  <c r="F23" i="146"/>
  <c r="F24" i="146"/>
  <c r="F25" i="146"/>
  <c r="F26" i="146"/>
  <c r="F27" i="146"/>
  <c r="F28" i="146"/>
  <c r="F29" i="146"/>
  <c r="F30" i="146"/>
  <c r="F31" i="146"/>
  <c r="F32" i="146"/>
  <c r="F33" i="146"/>
  <c r="F34" i="146"/>
  <c r="F35" i="146"/>
  <c r="F36" i="146"/>
  <c r="F37" i="146"/>
  <c r="F38" i="146"/>
  <c r="F39" i="146"/>
  <c r="F40" i="146"/>
  <c r="F41" i="146"/>
  <c r="F42" i="146"/>
  <c r="F43" i="146"/>
  <c r="F44" i="146"/>
  <c r="F45" i="146"/>
  <c r="F46" i="146"/>
  <c r="F47" i="146"/>
  <c r="F48" i="146"/>
  <c r="A15" i="27"/>
  <c r="A16" i="27"/>
  <c r="A17" i="27"/>
  <c r="A17" i="146"/>
  <c r="A18" i="146"/>
  <c r="A19" i="146"/>
  <c r="A16" i="59"/>
  <c r="D15" i="59"/>
  <c r="E17" i="46"/>
  <c r="D19" i="27"/>
  <c r="G17" i="22"/>
  <c r="E17" i="22"/>
  <c r="I17" i="22" s="1"/>
  <c r="D19" i="14"/>
  <c r="G29" i="2" s="1"/>
  <c r="A15" i="14"/>
  <c r="A20" i="146"/>
  <c r="A21" i="146"/>
  <c r="D22" i="14"/>
  <c r="E29" i="2"/>
  <c r="D22" i="27"/>
  <c r="A18" i="27"/>
  <c r="A19" i="27"/>
  <c r="E22" i="27"/>
  <c r="A16" i="14"/>
  <c r="A17" i="14"/>
  <c r="A22" i="146"/>
  <c r="A23" i="146"/>
  <c r="A24" i="146"/>
  <c r="E21" i="146"/>
  <c r="E19" i="27"/>
  <c r="A20" i="27"/>
  <c r="A21" i="27"/>
  <c r="A22" i="27"/>
  <c r="A18" i="14"/>
  <c r="A19" i="14"/>
  <c r="E19" i="14"/>
  <c r="A23" i="27"/>
  <c r="K17" i="22"/>
  <c r="A25" i="146"/>
  <c r="A26" i="146"/>
  <c r="A20" i="14"/>
  <c r="A21" i="14"/>
  <c r="A22" i="14"/>
  <c r="E22" i="14"/>
  <c r="E26" i="146"/>
  <c r="A23" i="14"/>
  <c r="K29" i="2"/>
  <c r="A27" i="146"/>
  <c r="A28" i="146"/>
  <c r="A29" i="146"/>
  <c r="A30" i="146"/>
  <c r="A31" i="146"/>
  <c r="A32" i="146"/>
  <c r="E32" i="146"/>
  <c r="A33" i="146"/>
  <c r="A34" i="146"/>
  <c r="A35" i="146"/>
  <c r="A36" i="146"/>
  <c r="I88" i="82"/>
  <c r="A37" i="146"/>
  <c r="A38" i="146"/>
  <c r="A39" i="146"/>
  <c r="E36" i="146"/>
  <c r="A40" i="146"/>
  <c r="A41" i="146"/>
  <c r="A42" i="146"/>
  <c r="A43" i="146"/>
  <c r="A44" i="146"/>
  <c r="E41" i="146"/>
  <c r="A45" i="146"/>
  <c r="A46" i="146"/>
  <c r="A47" i="146"/>
  <c r="A48" i="146"/>
  <c r="E75" i="146"/>
  <c r="E46" i="146"/>
  <c r="B5" i="82"/>
  <c r="B119" i="82"/>
  <c r="B5" i="75"/>
  <c r="B5" i="69"/>
  <c r="B5" i="66"/>
  <c r="B5" i="46"/>
  <c r="B5" i="40"/>
  <c r="B5" i="38"/>
  <c r="B5" i="22"/>
  <c r="B5" i="2"/>
  <c r="B5" i="114"/>
  <c r="E65" i="146"/>
  <c r="F11" i="150"/>
  <c r="E76" i="146"/>
  <c r="E77" i="146"/>
  <c r="J12" i="114"/>
  <c r="J13" i="114"/>
  <c r="J14" i="114"/>
  <c r="J15" i="114"/>
  <c r="J16" i="114"/>
  <c r="J17" i="114"/>
  <c r="J18" i="114"/>
  <c r="J19" i="114"/>
  <c r="J20" i="114"/>
  <c r="J21" i="114"/>
  <c r="J22" i="114"/>
  <c r="J23" i="114"/>
  <c r="J24" i="114"/>
  <c r="J25" i="114"/>
  <c r="J26" i="114"/>
  <c r="J27" i="114"/>
  <c r="J28" i="114"/>
  <c r="J29" i="114"/>
  <c r="J30" i="114"/>
  <c r="J31" i="114"/>
  <c r="J32" i="114"/>
  <c r="J33" i="114"/>
  <c r="J34" i="114"/>
  <c r="J35" i="114"/>
  <c r="J36" i="114"/>
  <c r="J37" i="114"/>
  <c r="J38" i="114"/>
  <c r="J39" i="114"/>
  <c r="J40" i="114"/>
  <c r="J41" i="114"/>
  <c r="J42" i="114"/>
  <c r="A13" i="114"/>
  <c r="A14" i="114"/>
  <c r="E78" i="146"/>
  <c r="E72" i="146"/>
  <c r="A15" i="114"/>
  <c r="A16" i="114"/>
  <c r="A17" i="114"/>
  <c r="A18" i="114"/>
  <c r="I18" i="114"/>
  <c r="E12" i="146"/>
  <c r="A19" i="114"/>
  <c r="A20" i="114"/>
  <c r="A21" i="114"/>
  <c r="A22" i="114"/>
  <c r="A23" i="114"/>
  <c r="A24" i="114"/>
  <c r="A25" i="114"/>
  <c r="E13" i="146"/>
  <c r="A26" i="114"/>
  <c r="A27" i="114"/>
  <c r="A28" i="114"/>
  <c r="A29" i="114"/>
  <c r="A30" i="114"/>
  <c r="A31" i="114"/>
  <c r="A32" i="114"/>
  <c r="A33" i="114"/>
  <c r="A34" i="114"/>
  <c r="A35" i="114"/>
  <c r="A36" i="114"/>
  <c r="H47" i="113"/>
  <c r="H48" i="113"/>
  <c r="H49" i="113"/>
  <c r="H50" i="113"/>
  <c r="H51" i="113"/>
  <c r="H52" i="113"/>
  <c r="H53" i="113"/>
  <c r="H54" i="113"/>
  <c r="H55" i="113"/>
  <c r="H56" i="113"/>
  <c r="H57" i="113"/>
  <c r="H58" i="113"/>
  <c r="H59" i="113"/>
  <c r="H60" i="113"/>
  <c r="H61" i="113"/>
  <c r="H62" i="113"/>
  <c r="H63" i="113"/>
  <c r="H64" i="113"/>
  <c r="H65" i="113"/>
  <c r="H66" i="113"/>
  <c r="H67" i="113"/>
  <c r="H68" i="113"/>
  <c r="H69" i="113"/>
  <c r="H70" i="113"/>
  <c r="H71" i="113"/>
  <c r="H72" i="113"/>
  <c r="H73" i="113"/>
  <c r="H74" i="113"/>
  <c r="H75" i="113"/>
  <c r="H76" i="113"/>
  <c r="H77" i="113"/>
  <c r="H78" i="113"/>
  <c r="H79" i="113"/>
  <c r="H80" i="113"/>
  <c r="H81" i="113"/>
  <c r="H82" i="113"/>
  <c r="H83" i="113"/>
  <c r="H84" i="113"/>
  <c r="H85" i="113"/>
  <c r="H86" i="113"/>
  <c r="H87" i="113"/>
  <c r="H88" i="113"/>
  <c r="H89" i="113"/>
  <c r="H90" i="113"/>
  <c r="H91" i="113"/>
  <c r="H92" i="113"/>
  <c r="H93" i="113"/>
  <c r="H94" i="113"/>
  <c r="H95" i="113"/>
  <c r="H96" i="113"/>
  <c r="H97" i="113"/>
  <c r="A48" i="113"/>
  <c r="A49" i="113"/>
  <c r="A50" i="113"/>
  <c r="H11" i="113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4" i="113"/>
  <c r="H25" i="113"/>
  <c r="H26" i="113"/>
  <c r="H27" i="113"/>
  <c r="H28" i="113"/>
  <c r="H29" i="113"/>
  <c r="H30" i="113"/>
  <c r="H31" i="113"/>
  <c r="H32" i="113"/>
  <c r="H33" i="113"/>
  <c r="H34" i="113"/>
  <c r="H35" i="113"/>
  <c r="A12" i="113"/>
  <c r="E12" i="111"/>
  <c r="E14" i="111"/>
  <c r="E17" i="111"/>
  <c r="H11" i="111"/>
  <c r="H12" i="111"/>
  <c r="H13" i="111"/>
  <c r="H14" i="111"/>
  <c r="H15" i="111"/>
  <c r="A12" i="111"/>
  <c r="B42" i="112"/>
  <c r="E9" i="2"/>
  <c r="B38" i="112"/>
  <c r="B36" i="112"/>
  <c r="B34" i="112"/>
  <c r="E11" i="112"/>
  <c r="E12" i="112"/>
  <c r="A12" i="112"/>
  <c r="A13" i="112"/>
  <c r="C17" i="85"/>
  <c r="C15" i="85"/>
  <c r="A12" i="85"/>
  <c r="A13" i="85"/>
  <c r="A14" i="85"/>
  <c r="A15" i="85"/>
  <c r="A16" i="85"/>
  <c r="A17" i="85"/>
  <c r="A18" i="85"/>
  <c r="A19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B4" i="84"/>
  <c r="D13" i="84"/>
  <c r="D14" i="84" s="1"/>
  <c r="D15" i="84" s="1"/>
  <c r="D16" i="84" s="1"/>
  <c r="D17" i="84" s="1"/>
  <c r="D18" i="84" s="1"/>
  <c r="B74" i="82"/>
  <c r="J81" i="82"/>
  <c r="J82" i="82"/>
  <c r="J83" i="82"/>
  <c r="J84" i="82"/>
  <c r="J85" i="82"/>
  <c r="J86" i="82"/>
  <c r="J87" i="82"/>
  <c r="J88" i="82"/>
  <c r="J89" i="82"/>
  <c r="J90" i="82"/>
  <c r="J91" i="82"/>
  <c r="J92" i="82"/>
  <c r="J93" i="82"/>
  <c r="J94" i="82"/>
  <c r="J95" i="82"/>
  <c r="J96" i="82"/>
  <c r="J97" i="82"/>
  <c r="J98" i="82"/>
  <c r="J99" i="82"/>
  <c r="J100" i="82"/>
  <c r="J101" i="82"/>
  <c r="J102" i="82"/>
  <c r="J103" i="82"/>
  <c r="J104" i="82"/>
  <c r="J105" i="82"/>
  <c r="J106" i="82"/>
  <c r="J107" i="82"/>
  <c r="J108" i="82"/>
  <c r="J109" i="82"/>
  <c r="J110" i="82"/>
  <c r="A81" i="82"/>
  <c r="A82" i="82"/>
  <c r="A83" i="82"/>
  <c r="A84" i="82"/>
  <c r="A85" i="82"/>
  <c r="E49" i="82"/>
  <c r="A12" i="82"/>
  <c r="A13" i="82"/>
  <c r="A14" i="82"/>
  <c r="A15" i="82"/>
  <c r="A16" i="82"/>
  <c r="A17" i="82"/>
  <c r="A18" i="82"/>
  <c r="A19" i="82"/>
  <c r="A20" i="82"/>
  <c r="J11" i="82"/>
  <c r="J12" i="82"/>
  <c r="J13" i="82"/>
  <c r="J14" i="82"/>
  <c r="J15" i="82"/>
  <c r="J16" i="82"/>
  <c r="J17" i="82"/>
  <c r="J18" i="82"/>
  <c r="J19" i="82"/>
  <c r="J20" i="82"/>
  <c r="J21" i="82"/>
  <c r="J22" i="82"/>
  <c r="J23" i="82"/>
  <c r="J24" i="82"/>
  <c r="J25" i="82"/>
  <c r="J26" i="82"/>
  <c r="J27" i="82"/>
  <c r="J28" i="82"/>
  <c r="J29" i="82"/>
  <c r="J30" i="82"/>
  <c r="J31" i="82"/>
  <c r="J32" i="82"/>
  <c r="J33" i="82"/>
  <c r="J34" i="82"/>
  <c r="J35" i="82"/>
  <c r="J36" i="82"/>
  <c r="J37" i="82"/>
  <c r="J38" i="82"/>
  <c r="J39" i="82"/>
  <c r="J40" i="82"/>
  <c r="J41" i="82"/>
  <c r="J42" i="82"/>
  <c r="J43" i="82"/>
  <c r="J44" i="82"/>
  <c r="J45" i="82"/>
  <c r="J46" i="82"/>
  <c r="J47" i="82"/>
  <c r="J48" i="82"/>
  <c r="J49" i="82"/>
  <c r="J50" i="82"/>
  <c r="J51" i="82"/>
  <c r="J52" i="82"/>
  <c r="J53" i="82"/>
  <c r="J54" i="82"/>
  <c r="J55" i="82"/>
  <c r="J56" i="82"/>
  <c r="J57" i="82"/>
  <c r="J58" i="82"/>
  <c r="J59" i="82"/>
  <c r="J60" i="82"/>
  <c r="J61" i="82"/>
  <c r="J62" i="82"/>
  <c r="J63" i="82"/>
  <c r="J64" i="82"/>
  <c r="J65" i="82"/>
  <c r="G59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A12" i="40"/>
  <c r="G12" i="111"/>
  <c r="G9" i="2"/>
  <c r="G9" i="34" s="1"/>
  <c r="A12" i="2"/>
  <c r="A13" i="2"/>
  <c r="A14" i="2"/>
  <c r="A15" i="2"/>
  <c r="A16" i="2"/>
  <c r="A17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A12" i="22"/>
  <c r="A13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D7" i="135"/>
  <c r="C7" i="135"/>
  <c r="G11" i="135"/>
  <c r="G12" i="135"/>
  <c r="G13" i="135"/>
  <c r="G14" i="135"/>
  <c r="G15" i="135"/>
  <c r="G16" i="135"/>
  <c r="H11" i="38"/>
  <c r="G15" i="45"/>
  <c r="G13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A12" i="45"/>
  <c r="A13" i="45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27" i="40"/>
  <c r="H28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H68" i="40"/>
  <c r="E14" i="146"/>
  <c r="I36" i="114"/>
  <c r="A37" i="114"/>
  <c r="A38" i="114"/>
  <c r="A39" i="114"/>
  <c r="A40" i="114"/>
  <c r="I38" i="114"/>
  <c r="I34" i="114"/>
  <c r="A13" i="113"/>
  <c r="A14" i="113"/>
  <c r="A15" i="113"/>
  <c r="A16" i="113"/>
  <c r="A17" i="113"/>
  <c r="A18" i="113"/>
  <c r="A19" i="113"/>
  <c r="A20" i="113"/>
  <c r="A21" i="113"/>
  <c r="A22" i="113"/>
  <c r="D36" i="112"/>
  <c r="A14" i="112"/>
  <c r="A15" i="112"/>
  <c r="A16" i="112"/>
  <c r="A17" i="112"/>
  <c r="C19" i="85"/>
  <c r="A20" i="85"/>
  <c r="A21" i="85"/>
  <c r="A22" i="85"/>
  <c r="A23" i="85"/>
  <c r="A11" i="135"/>
  <c r="A18" i="2"/>
  <c r="A19" i="2"/>
  <c r="G61" i="40"/>
  <c r="A13" i="40"/>
  <c r="A14" i="40"/>
  <c r="A15" i="40"/>
  <c r="H16" i="111"/>
  <c r="H17" i="111"/>
  <c r="H18" i="111"/>
  <c r="H19" i="111"/>
  <c r="H20" i="111"/>
  <c r="H21" i="111"/>
  <c r="H22" i="111"/>
  <c r="H23" i="111"/>
  <c r="H24" i="111"/>
  <c r="H25" i="111"/>
  <c r="H26" i="111"/>
  <c r="H27" i="111"/>
  <c r="A13" i="111"/>
  <c r="A14" i="111"/>
  <c r="G9" i="22"/>
  <c r="E9" i="34"/>
  <c r="E9" i="22"/>
  <c r="A14" i="45"/>
  <c r="A15" i="45"/>
  <c r="B5" i="113"/>
  <c r="B41" i="113" s="1"/>
  <c r="A51" i="113"/>
  <c r="A52" i="113"/>
  <c r="A53" i="113"/>
  <c r="A54" i="113"/>
  <c r="A55" i="113"/>
  <c r="A56" i="113"/>
  <c r="A57" i="113"/>
  <c r="A58" i="113"/>
  <c r="A59" i="113"/>
  <c r="A60" i="113"/>
  <c r="G52" i="113"/>
  <c r="D15" i="85"/>
  <c r="I17" i="82"/>
  <c r="G25" i="82"/>
  <c r="G27" i="82" s="1"/>
  <c r="E47" i="82" s="1"/>
  <c r="G32" i="82"/>
  <c r="G17" i="82"/>
  <c r="C47" i="82" s="1"/>
  <c r="I97" i="82"/>
  <c r="A86" i="82"/>
  <c r="A21" i="82"/>
  <c r="A22" i="82"/>
  <c r="A23" i="82"/>
  <c r="A24" i="82"/>
  <c r="A25" i="82"/>
  <c r="I27" i="82"/>
  <c r="G39" i="82"/>
  <c r="C49" i="82" s="1"/>
  <c r="C48" i="82"/>
  <c r="A14" i="22"/>
  <c r="A15" i="22"/>
  <c r="H11" i="46"/>
  <c r="H12" i="46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11" i="66"/>
  <c r="H12" i="66"/>
  <c r="H13" i="66"/>
  <c r="H14" i="66"/>
  <c r="H15" i="66"/>
  <c r="H16" i="66"/>
  <c r="H17" i="66"/>
  <c r="H18" i="66"/>
  <c r="H19" i="66"/>
  <c r="H20" i="66"/>
  <c r="H21" i="66"/>
  <c r="H22" i="66"/>
  <c r="H23" i="66"/>
  <c r="H24" i="66"/>
  <c r="H25" i="66"/>
  <c r="H26" i="66"/>
  <c r="H27" i="66"/>
  <c r="H28" i="66"/>
  <c r="H29" i="66"/>
  <c r="H30" i="66"/>
  <c r="H31" i="66"/>
  <c r="H32" i="66"/>
  <c r="H33" i="66"/>
  <c r="H34" i="66"/>
  <c r="H35" i="66"/>
  <c r="H36" i="66"/>
  <c r="H37" i="66"/>
  <c r="H38" i="66"/>
  <c r="A12" i="66"/>
  <c r="A13" i="66"/>
  <c r="G15" i="66"/>
  <c r="E27" i="69"/>
  <c r="A12" i="69"/>
  <c r="A13" i="69"/>
  <c r="J11" i="69"/>
  <c r="J12" i="69"/>
  <c r="J13" i="69"/>
  <c r="J14" i="69"/>
  <c r="J15" i="69"/>
  <c r="J16" i="69"/>
  <c r="J17" i="69"/>
  <c r="J18" i="69"/>
  <c r="J19" i="69"/>
  <c r="J20" i="69"/>
  <c r="J21" i="69"/>
  <c r="J22" i="69"/>
  <c r="J23" i="69"/>
  <c r="J24" i="69"/>
  <c r="J25" i="69"/>
  <c r="J26" i="69"/>
  <c r="J27" i="69"/>
  <c r="J28" i="69"/>
  <c r="J29" i="69"/>
  <c r="A11" i="75"/>
  <c r="B25" i="71"/>
  <c r="B14" i="71"/>
  <c r="B13" i="71"/>
  <c r="A16" i="40"/>
  <c r="A17" i="40"/>
  <c r="A18" i="40"/>
  <c r="A19" i="40"/>
  <c r="A20" i="40"/>
  <c r="A21" i="40"/>
  <c r="A22" i="40"/>
  <c r="A23" i="40"/>
  <c r="A24" i="40"/>
  <c r="A25" i="40"/>
  <c r="A26" i="40"/>
  <c r="C63" i="82"/>
  <c r="E15" i="146"/>
  <c r="E79" i="146"/>
  <c r="I40" i="114"/>
  <c r="A41" i="114"/>
  <c r="A42" i="114"/>
  <c r="D15" i="112"/>
  <c r="I42" i="114"/>
  <c r="A23" i="113"/>
  <c r="A24" i="113"/>
  <c r="A25" i="113"/>
  <c r="A26" i="113"/>
  <c r="A27" i="113"/>
  <c r="A28" i="113"/>
  <c r="A29" i="113"/>
  <c r="A30" i="113"/>
  <c r="A31" i="113"/>
  <c r="A32" i="113"/>
  <c r="A33" i="113"/>
  <c r="A34" i="113"/>
  <c r="A35" i="113"/>
  <c r="D13" i="112"/>
  <c r="G24" i="113"/>
  <c r="A18" i="112"/>
  <c r="A19" i="112"/>
  <c r="A20" i="112"/>
  <c r="A21" i="112"/>
  <c r="A22" i="112"/>
  <c r="A23" i="112"/>
  <c r="A24" i="112"/>
  <c r="A25" i="112"/>
  <c r="A26" i="112"/>
  <c r="A27" i="112"/>
  <c r="A28" i="112"/>
  <c r="D17" i="112"/>
  <c r="D38" i="112"/>
  <c r="A61" i="113"/>
  <c r="A62" i="113"/>
  <c r="G62" i="113"/>
  <c r="C23" i="85"/>
  <c r="C27" i="85"/>
  <c r="G21" i="114"/>
  <c r="C28" i="84"/>
  <c r="C30" i="84" s="1"/>
  <c r="D23" i="85"/>
  <c r="G12" i="113"/>
  <c r="A87" i="82"/>
  <c r="A88" i="82"/>
  <c r="B24" i="75"/>
  <c r="A24" i="85"/>
  <c r="A25" i="85"/>
  <c r="A26" i="85"/>
  <c r="A27" i="85"/>
  <c r="I21" i="114"/>
  <c r="E21" i="75"/>
  <c r="G86" i="82"/>
  <c r="A12" i="135"/>
  <c r="A13" i="135"/>
  <c r="A14" i="135"/>
  <c r="A15" i="135"/>
  <c r="A20" i="2"/>
  <c r="A21" i="2"/>
  <c r="G62" i="40"/>
  <c r="A15" i="111"/>
  <c r="A16" i="111"/>
  <c r="A17" i="111"/>
  <c r="G14" i="111"/>
  <c r="H11" i="75"/>
  <c r="H12" i="75"/>
  <c r="A14" i="66"/>
  <c r="A15" i="66"/>
  <c r="A16" i="66"/>
  <c r="A17" i="66"/>
  <c r="A18" i="66"/>
  <c r="A19" i="66"/>
  <c r="A20" i="66"/>
  <c r="A21" i="66"/>
  <c r="A22" i="66"/>
  <c r="A23" i="66"/>
  <c r="A16" i="45"/>
  <c r="A17" i="45"/>
  <c r="A18" i="45"/>
  <c r="A19" i="45"/>
  <c r="A20" i="45"/>
  <c r="A21" i="45"/>
  <c r="A22" i="45"/>
  <c r="A23" i="45"/>
  <c r="G25" i="45"/>
  <c r="D19" i="85"/>
  <c r="E48" i="82"/>
  <c r="I25" i="82"/>
  <c r="A26" i="82"/>
  <c r="A27" i="82"/>
  <c r="A16" i="22"/>
  <c r="A17" i="22"/>
  <c r="A14" i="69"/>
  <c r="A15" i="69"/>
  <c r="I15" i="69"/>
  <c r="A12" i="75"/>
  <c r="A14" i="71"/>
  <c r="A15" i="71"/>
  <c r="A16" i="71"/>
  <c r="A17" i="71"/>
  <c r="A18" i="71"/>
  <c r="A19" i="71"/>
  <c r="A20" i="71"/>
  <c r="A21" i="71"/>
  <c r="A22" i="71"/>
  <c r="A23" i="71"/>
  <c r="A24" i="71"/>
  <c r="A25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B27" i="70"/>
  <c r="B16" i="70"/>
  <c r="B15" i="70"/>
  <c r="A27" i="40"/>
  <c r="G27" i="40"/>
  <c r="D27" i="85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D44" i="112"/>
  <c r="D42" i="112"/>
  <c r="D23" i="112"/>
  <c r="G28" i="113"/>
  <c r="G33" i="113"/>
  <c r="G26" i="113"/>
  <c r="A63" i="113"/>
  <c r="A64" i="113"/>
  <c r="A65" i="113"/>
  <c r="A66" i="113"/>
  <c r="A67" i="113"/>
  <c r="A68" i="113"/>
  <c r="A69" i="113"/>
  <c r="A70" i="113"/>
  <c r="A71" i="113"/>
  <c r="A72" i="113"/>
  <c r="A73" i="113"/>
  <c r="A74" i="113"/>
  <c r="A75" i="113"/>
  <c r="A76" i="113"/>
  <c r="G16" i="113"/>
  <c r="A24" i="66"/>
  <c r="A25" i="66"/>
  <c r="A26" i="66"/>
  <c r="A27" i="66"/>
  <c r="F15" i="135"/>
  <c r="I98" i="82"/>
  <c r="A26" i="71"/>
  <c r="A27" i="71"/>
  <c r="A28" i="71"/>
  <c r="A29" i="71"/>
  <c r="A30" i="71"/>
  <c r="D27" i="71"/>
  <c r="A28" i="85"/>
  <c r="G17" i="111"/>
  <c r="A16" i="69"/>
  <c r="A17" i="69"/>
  <c r="A18" i="69"/>
  <c r="A19" i="69"/>
  <c r="E29" i="146"/>
  <c r="G71" i="113"/>
  <c r="A13" i="75"/>
  <c r="A14" i="75"/>
  <c r="H13" i="75"/>
  <c r="H14" i="75"/>
  <c r="H15" i="75"/>
  <c r="H16" i="75"/>
  <c r="A16" i="135"/>
  <c r="E61" i="146"/>
  <c r="A18" i="111"/>
  <c r="A19" i="111"/>
  <c r="A20" i="111"/>
  <c r="A21" i="111"/>
  <c r="A24" i="45"/>
  <c r="A25" i="45"/>
  <c r="G57" i="113"/>
  <c r="G35" i="113"/>
  <c r="I47" i="82"/>
  <c r="A28" i="82"/>
  <c r="A29" i="82"/>
  <c r="A30" i="82"/>
  <c r="I36" i="82"/>
  <c r="I99" i="82"/>
  <c r="A89" i="82"/>
  <c r="I134" i="82"/>
  <c r="A18" i="22"/>
  <c r="A19" i="22"/>
  <c r="K25" i="22"/>
  <c r="G19" i="66"/>
  <c r="I19" i="69"/>
  <c r="A16" i="70"/>
  <c r="A17" i="70"/>
  <c r="A18" i="70"/>
  <c r="A19" i="70"/>
  <c r="A20" i="70"/>
  <c r="A21" i="70"/>
  <c r="A22" i="70"/>
  <c r="A23" i="70"/>
  <c r="A24" i="70"/>
  <c r="A25" i="70"/>
  <c r="A26" i="70"/>
  <c r="A27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B15" i="56"/>
  <c r="B5" i="56"/>
  <c r="A16" i="56"/>
  <c r="E15" i="56"/>
  <c r="E16" i="56"/>
  <c r="A12" i="42"/>
  <c r="A13" i="42" s="1"/>
  <c r="A14" i="42" s="1"/>
  <c r="A15" i="42" s="1"/>
  <c r="H11" i="42"/>
  <c r="H12" i="42" s="1"/>
  <c r="H13" i="42" s="1"/>
  <c r="H14" i="42" s="1"/>
  <c r="H15" i="42" s="1"/>
  <c r="H16" i="42" s="1"/>
  <c r="H17" i="42" s="1"/>
  <c r="H18" i="42" s="1"/>
  <c r="H19" i="42" s="1"/>
  <c r="H20" i="42" s="1"/>
  <c r="H21" i="42" s="1"/>
  <c r="H22" i="42" s="1"/>
  <c r="H23" i="42" s="1"/>
  <c r="H24" i="42" s="1"/>
  <c r="H25" i="42" s="1"/>
  <c r="H26" i="42" s="1"/>
  <c r="H27" i="42" s="1"/>
  <c r="H28" i="42" s="1"/>
  <c r="H29" i="42" s="1"/>
  <c r="H30" i="42" s="1"/>
  <c r="H31" i="42" s="1"/>
  <c r="H32" i="42" s="1"/>
  <c r="H33" i="42" s="1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F45" i="41"/>
  <c r="E21" i="40"/>
  <c r="E18" i="40"/>
  <c r="E17" i="40"/>
  <c r="A28" i="40"/>
  <c r="A29" i="40"/>
  <c r="A30" i="40"/>
  <c r="A31" i="40"/>
  <c r="A32" i="40"/>
  <c r="A33" i="40"/>
  <c r="A34" i="40"/>
  <c r="I22" i="69"/>
  <c r="G50" i="113"/>
  <c r="K35" i="2"/>
  <c r="G61" i="82"/>
  <c r="G62" i="82"/>
  <c r="G27" i="66"/>
  <c r="A28" i="66"/>
  <c r="A29" i="66"/>
  <c r="A30" i="66"/>
  <c r="A31" i="66"/>
  <c r="A32" i="66"/>
  <c r="A33" i="66"/>
  <c r="A34" i="66"/>
  <c r="A35" i="66"/>
  <c r="A36" i="66"/>
  <c r="A37" i="66"/>
  <c r="A38" i="66"/>
  <c r="G60" i="113"/>
  <c r="A77" i="113"/>
  <c r="A78" i="113"/>
  <c r="A79" i="113"/>
  <c r="A80" i="113"/>
  <c r="G89" i="113"/>
  <c r="D46" i="112"/>
  <c r="D27" i="112"/>
  <c r="A15" i="75"/>
  <c r="A16" i="75"/>
  <c r="G17" i="75"/>
  <c r="G21" i="111"/>
  <c r="A28" i="70"/>
  <c r="A29" i="70"/>
  <c r="A30" i="70"/>
  <c r="A31" i="70"/>
  <c r="A32" i="70"/>
  <c r="D29" i="70"/>
  <c r="A20" i="69"/>
  <c r="A21" i="69"/>
  <c r="A22" i="69"/>
  <c r="A23" i="69"/>
  <c r="A24" i="69"/>
  <c r="A25" i="69"/>
  <c r="E30" i="146"/>
  <c r="G72" i="113"/>
  <c r="A31" i="71"/>
  <c r="I17" i="69"/>
  <c r="E15" i="41"/>
  <c r="F15" i="41" s="1"/>
  <c r="D41" i="41"/>
  <c r="H17" i="75"/>
  <c r="H18" i="75"/>
  <c r="H19" i="75"/>
  <c r="H20" i="75"/>
  <c r="H21" i="75"/>
  <c r="A22" i="111"/>
  <c r="A23" i="111"/>
  <c r="G25" i="111"/>
  <c r="G23" i="111"/>
  <c r="G14" i="113"/>
  <c r="G27" i="45"/>
  <c r="A26" i="45"/>
  <c r="A27" i="45"/>
  <c r="G19" i="46"/>
  <c r="G67" i="113"/>
  <c r="A90" i="82"/>
  <c r="A91" i="82"/>
  <c r="A31" i="82"/>
  <c r="A20" i="22"/>
  <c r="A21" i="22"/>
  <c r="E69" i="146"/>
  <c r="K21" i="22"/>
  <c r="K23" i="22"/>
  <c r="I24" i="69"/>
  <c r="A35" i="40"/>
  <c r="A36" i="40"/>
  <c r="A37" i="40"/>
  <c r="A38" i="40"/>
  <c r="A39" i="40"/>
  <c r="A40" i="40"/>
  <c r="A41" i="40"/>
  <c r="A42" i="40"/>
  <c r="A17" i="75"/>
  <c r="G65" i="82"/>
  <c r="G130" i="82"/>
  <c r="G136" i="82"/>
  <c r="G145" i="82"/>
  <c r="G60" i="82"/>
  <c r="G63" i="82"/>
  <c r="G153" i="82"/>
  <c r="D63" i="82"/>
  <c r="A81" i="113"/>
  <c r="A82" i="113"/>
  <c r="A83" i="113"/>
  <c r="G20" i="113"/>
  <c r="I25" i="69"/>
  <c r="A33" i="70"/>
  <c r="I11" i="69"/>
  <c r="A18" i="75"/>
  <c r="A19" i="75"/>
  <c r="A20" i="75"/>
  <c r="A21" i="75"/>
  <c r="I86" i="82"/>
  <c r="A24" i="111"/>
  <c r="A25" i="111"/>
  <c r="A26" i="111"/>
  <c r="A27" i="111"/>
  <c r="D11" i="112"/>
  <c r="G18" i="113"/>
  <c r="I100" i="82"/>
  <c r="A92" i="82"/>
  <c r="A93" i="82"/>
  <c r="A94" i="82"/>
  <c r="A95" i="82"/>
  <c r="A96" i="82"/>
  <c r="A97" i="82"/>
  <c r="A98" i="82"/>
  <c r="A99" i="82"/>
  <c r="A100" i="82"/>
  <c r="A101" i="82"/>
  <c r="I146" i="82"/>
  <c r="A32" i="82"/>
  <c r="I32" i="82"/>
  <c r="A22" i="22"/>
  <c r="A23" i="22"/>
  <c r="G23" i="66"/>
  <c r="A26" i="69"/>
  <c r="A27" i="69"/>
  <c r="I29" i="69"/>
  <c r="A45" i="40"/>
  <c r="G45" i="40"/>
  <c r="A84" i="113"/>
  <c r="A85" i="113"/>
  <c r="A86" i="113"/>
  <c r="A87" i="113"/>
  <c r="A88" i="113"/>
  <c r="A89" i="113"/>
  <c r="A90" i="113"/>
  <c r="A91" i="113"/>
  <c r="A92" i="113"/>
  <c r="A93" i="113"/>
  <c r="A94" i="113"/>
  <c r="A95" i="113"/>
  <c r="A96" i="113"/>
  <c r="A97" i="113"/>
  <c r="G142" i="82"/>
  <c r="G148" i="82"/>
  <c r="G151" i="82"/>
  <c r="G155" i="82"/>
  <c r="G21" i="75"/>
  <c r="G27" i="111"/>
  <c r="A24" i="22"/>
  <c r="A25" i="22"/>
  <c r="E70" i="146"/>
  <c r="G64" i="40"/>
  <c r="G74" i="113"/>
  <c r="G36" i="66"/>
  <c r="K19" i="22"/>
  <c r="G46" i="40"/>
  <c r="K33" i="2"/>
  <c r="A102" i="82"/>
  <c r="A103" i="82"/>
  <c r="I106" i="82"/>
  <c r="I48" i="82"/>
  <c r="A33" i="82"/>
  <c r="A34" i="82"/>
  <c r="A35" i="82"/>
  <c r="A28" i="69"/>
  <c r="A29" i="69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H51" i="41" s="1"/>
  <c r="H52" i="41" s="1"/>
  <c r="H53" i="41" s="1"/>
  <c r="H54" i="41" s="1"/>
  <c r="H55" i="41" s="1"/>
  <c r="H56" i="41" s="1"/>
  <c r="H57" i="41" s="1"/>
  <c r="H58" i="41" s="1"/>
  <c r="H59" i="41" s="1"/>
  <c r="H60" i="41" s="1"/>
  <c r="H61" i="41" s="1"/>
  <c r="H62" i="41" s="1"/>
  <c r="H63" i="41" s="1"/>
  <c r="H64" i="41" s="1"/>
  <c r="H65" i="41" s="1"/>
  <c r="H66" i="41" s="1"/>
  <c r="H67" i="41" s="1"/>
  <c r="H68" i="41" s="1"/>
  <c r="H69" i="41" s="1"/>
  <c r="H70" i="41" s="1"/>
  <c r="H71" i="41" s="1"/>
  <c r="H72" i="41" s="1"/>
  <c r="H73" i="41" s="1"/>
  <c r="B26" i="109"/>
  <c r="B15" i="109"/>
  <c r="B14" i="109"/>
  <c r="B6" i="109"/>
  <c r="A15" i="109"/>
  <c r="A16" i="109"/>
  <c r="A17" i="109"/>
  <c r="A18" i="109"/>
  <c r="A19" i="109"/>
  <c r="A20" i="109"/>
  <c r="A21" i="109"/>
  <c r="A22" i="109"/>
  <c r="A23" i="109"/>
  <c r="A24" i="109"/>
  <c r="A25" i="109"/>
  <c r="A26" i="109"/>
  <c r="E14" i="109"/>
  <c r="E15" i="109"/>
  <c r="E16" i="109"/>
  <c r="E17" i="109"/>
  <c r="E18" i="109"/>
  <c r="E19" i="109"/>
  <c r="E20" i="109"/>
  <c r="E21" i="109"/>
  <c r="E22" i="109"/>
  <c r="E23" i="109"/>
  <c r="E24" i="109"/>
  <c r="E25" i="109"/>
  <c r="E26" i="109"/>
  <c r="E27" i="109"/>
  <c r="E28" i="109"/>
  <c r="E29" i="109"/>
  <c r="E30" i="109"/>
  <c r="E31" i="109"/>
  <c r="E32" i="109"/>
  <c r="G15" i="22"/>
  <c r="E15" i="22"/>
  <c r="I15" i="22" s="1"/>
  <c r="B16" i="26"/>
  <c r="B14" i="26"/>
  <c r="B5" i="26"/>
  <c r="A15" i="26"/>
  <c r="A16" i="26"/>
  <c r="D19" i="26"/>
  <c r="E14" i="26"/>
  <c r="E15" i="26"/>
  <c r="E16" i="26"/>
  <c r="E17" i="26"/>
  <c r="E18" i="26"/>
  <c r="E19" i="26"/>
  <c r="E20" i="26"/>
  <c r="G13" i="22"/>
  <c r="E13" i="22"/>
  <c r="B16" i="25"/>
  <c r="B14" i="25"/>
  <c r="B5" i="25"/>
  <c r="A15" i="25"/>
  <c r="A16" i="25"/>
  <c r="D19" i="25"/>
  <c r="E14" i="25"/>
  <c r="E15" i="25"/>
  <c r="E16" i="25"/>
  <c r="E17" i="25"/>
  <c r="E18" i="25"/>
  <c r="E19" i="25"/>
  <c r="E20" i="25"/>
  <c r="F34" i="24"/>
  <c r="K18" i="24"/>
  <c r="K20" i="24"/>
  <c r="K22" i="24" s="1"/>
  <c r="K27" i="24"/>
  <c r="K34" i="24" s="1"/>
  <c r="K31" i="24"/>
  <c r="K19" i="24"/>
  <c r="A17" i="24"/>
  <c r="A18" i="24"/>
  <c r="A19" i="24"/>
  <c r="A20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B26" i="136"/>
  <c r="B15" i="136"/>
  <c r="A15" i="136"/>
  <c r="A16" i="136"/>
  <c r="A17" i="136"/>
  <c r="A18" i="136"/>
  <c r="A19" i="136"/>
  <c r="A20" i="136"/>
  <c r="A21" i="136"/>
  <c r="A22" i="136"/>
  <c r="A23" i="136"/>
  <c r="A24" i="136"/>
  <c r="A25" i="136"/>
  <c r="A26" i="136"/>
  <c r="G14" i="136"/>
  <c r="G15" i="136"/>
  <c r="G16" i="136"/>
  <c r="G17" i="136"/>
  <c r="G18" i="136"/>
  <c r="G19" i="136"/>
  <c r="G20" i="136"/>
  <c r="G21" i="136"/>
  <c r="G22" i="136"/>
  <c r="G23" i="136"/>
  <c r="G24" i="136"/>
  <c r="G25" i="136"/>
  <c r="G26" i="136"/>
  <c r="G27" i="136"/>
  <c r="G28" i="136"/>
  <c r="G29" i="136"/>
  <c r="G30" i="136"/>
  <c r="G31" i="136"/>
  <c r="G32" i="136"/>
  <c r="B14" i="136"/>
  <c r="B5" i="136"/>
  <c r="B26" i="23"/>
  <c r="B15" i="23"/>
  <c r="B14" i="23"/>
  <c r="B5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27" i="2"/>
  <c r="E27" i="2"/>
  <c r="I27" i="2" s="1"/>
  <c r="E64" i="40" s="1"/>
  <c r="B16" i="13"/>
  <c r="B14" i="13"/>
  <c r="B5" i="13"/>
  <c r="A15" i="13"/>
  <c r="A16" i="13"/>
  <c r="D19" i="13"/>
  <c r="E14" i="13"/>
  <c r="E15" i="13"/>
  <c r="E16" i="13"/>
  <c r="E17" i="13"/>
  <c r="E18" i="13"/>
  <c r="E19" i="13"/>
  <c r="E20" i="13"/>
  <c r="G25" i="2"/>
  <c r="E25" i="2"/>
  <c r="B16" i="3"/>
  <c r="B14" i="3"/>
  <c r="B5" i="3"/>
  <c r="A15" i="3"/>
  <c r="A16" i="3"/>
  <c r="D19" i="3"/>
  <c r="E14" i="3"/>
  <c r="E15" i="3"/>
  <c r="E16" i="3"/>
  <c r="E17" i="3"/>
  <c r="E18" i="3"/>
  <c r="E19" i="3"/>
  <c r="E20" i="3"/>
  <c r="K30" i="11"/>
  <c r="A16" i="11"/>
  <c r="A17" i="11"/>
  <c r="A18" i="11"/>
  <c r="A19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A46" i="40"/>
  <c r="A47" i="40"/>
  <c r="G47" i="40"/>
  <c r="G87" i="113"/>
  <c r="K30" i="24"/>
  <c r="K26" i="24"/>
  <c r="A27" i="109"/>
  <c r="A28" i="109"/>
  <c r="A29" i="109"/>
  <c r="A30" i="109"/>
  <c r="A31" i="109"/>
  <c r="D28" i="109"/>
  <c r="E31" i="146"/>
  <c r="G73" i="113"/>
  <c r="A27" i="136"/>
  <c r="A28" i="136"/>
  <c r="A29" i="136"/>
  <c r="A30" i="136"/>
  <c r="A31" i="136"/>
  <c r="F34" i="23"/>
  <c r="D31" i="136"/>
  <c r="F31" i="136"/>
  <c r="D28" i="136"/>
  <c r="F28" i="136"/>
  <c r="I25" i="2"/>
  <c r="A27" i="23"/>
  <c r="A28" i="23"/>
  <c r="A29" i="23"/>
  <c r="A30" i="23"/>
  <c r="A31" i="23"/>
  <c r="A32" i="23"/>
  <c r="A33" i="23"/>
  <c r="A34" i="23"/>
  <c r="A35" i="23"/>
  <c r="A36" i="23"/>
  <c r="K11" i="22"/>
  <c r="D31" i="23"/>
  <c r="D28" i="23"/>
  <c r="F28" i="23"/>
  <c r="K28" i="24"/>
  <c r="I13" i="22"/>
  <c r="A26" i="22"/>
  <c r="A27" i="22"/>
  <c r="A28" i="22"/>
  <c r="A29" i="22"/>
  <c r="E71" i="146"/>
  <c r="K27" i="22"/>
  <c r="K31" i="2"/>
  <c r="G65" i="40"/>
  <c r="K41" i="2"/>
  <c r="G78" i="113"/>
  <c r="G80" i="113"/>
  <c r="A104" i="82"/>
  <c r="A105" i="82"/>
  <c r="A106" i="82"/>
  <c r="A36" i="82"/>
  <c r="A37" i="82"/>
  <c r="A38" i="82"/>
  <c r="A39" i="82"/>
  <c r="A40" i="82"/>
  <c r="A41" i="82"/>
  <c r="A42" i="82"/>
  <c r="F30" i="41"/>
  <c r="F31" i="41"/>
  <c r="F35" i="41"/>
  <c r="F32" i="41"/>
  <c r="F39" i="41"/>
  <c r="D27" i="41"/>
  <c r="F34" i="41"/>
  <c r="F33" i="41"/>
  <c r="C19" i="26"/>
  <c r="A17" i="26"/>
  <c r="A18" i="26"/>
  <c r="A19" i="26"/>
  <c r="C19" i="25"/>
  <c r="A17" i="25"/>
  <c r="A18" i="25"/>
  <c r="A19" i="25"/>
  <c r="J34" i="24"/>
  <c r="J36" i="24" s="1"/>
  <c r="J22" i="24"/>
  <c r="I34" i="24"/>
  <c r="I36" i="24" s="1"/>
  <c r="I22" i="24"/>
  <c r="H34" i="24"/>
  <c r="H22" i="24"/>
  <c r="G34" i="24"/>
  <c r="G36" i="24" s="1"/>
  <c r="G22" i="24"/>
  <c r="E34" i="24"/>
  <c r="K32" i="24"/>
  <c r="K17" i="24"/>
  <c r="E22" i="24"/>
  <c r="K29" i="24"/>
  <c r="D34" i="24"/>
  <c r="K25" i="24"/>
  <c r="D22" i="24"/>
  <c r="K16" i="24"/>
  <c r="A21" i="24"/>
  <c r="A22" i="24"/>
  <c r="L22" i="24"/>
  <c r="F22" i="24"/>
  <c r="K24" i="24"/>
  <c r="C28" i="136"/>
  <c r="C31" i="136" s="1"/>
  <c r="A32" i="136"/>
  <c r="E28" i="23"/>
  <c r="E31" i="23"/>
  <c r="C28" i="23"/>
  <c r="C31" i="23" s="1"/>
  <c r="C19" i="13"/>
  <c r="A17" i="13"/>
  <c r="A18" i="13"/>
  <c r="A19" i="13"/>
  <c r="C19" i="3"/>
  <c r="A17" i="3"/>
  <c r="A18" i="3"/>
  <c r="A19" i="3"/>
  <c r="J33" i="11"/>
  <c r="I33" i="11"/>
  <c r="H33" i="11"/>
  <c r="H35" i="11" s="1"/>
  <c r="G33" i="11"/>
  <c r="G35" i="11" s="1"/>
  <c r="F33" i="11"/>
  <c r="E33" i="11"/>
  <c r="K31" i="11"/>
  <c r="D33" i="11"/>
  <c r="L21" i="11"/>
  <c r="A20" i="11"/>
  <c r="A21" i="11"/>
  <c r="B26" i="9"/>
  <c r="B15" i="9"/>
  <c r="B14" i="9"/>
  <c r="A15" i="9"/>
  <c r="A16" i="9"/>
  <c r="A17" i="9"/>
  <c r="A18" i="9"/>
  <c r="A19" i="9"/>
  <c r="A20" i="9"/>
  <c r="A21" i="9"/>
  <c r="A22" i="9"/>
  <c r="A23" i="9"/>
  <c r="A24" i="9"/>
  <c r="A25" i="9"/>
  <c r="A26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19" i="2"/>
  <c r="E19" i="2"/>
  <c r="I19" i="2" s="1"/>
  <c r="E62" i="40" s="1"/>
  <c r="B17" i="8"/>
  <c r="B15" i="8"/>
  <c r="B5" i="8"/>
  <c r="A16" i="8"/>
  <c r="A17" i="8"/>
  <c r="G15" i="8"/>
  <c r="G16" i="8"/>
  <c r="G17" i="8"/>
  <c r="G18" i="8"/>
  <c r="G19" i="8"/>
  <c r="G20" i="8"/>
  <c r="G21" i="8"/>
  <c r="B26" i="7"/>
  <c r="B15" i="7"/>
  <c r="B14" i="7"/>
  <c r="B5" i="7"/>
  <c r="A15" i="7"/>
  <c r="A16" i="7"/>
  <c r="A17" i="7"/>
  <c r="A18" i="7"/>
  <c r="A19" i="7"/>
  <c r="A20" i="7"/>
  <c r="A21" i="7"/>
  <c r="A22" i="7"/>
  <c r="A23" i="7"/>
  <c r="A24" i="7"/>
  <c r="A25" i="7"/>
  <c r="A26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B26" i="6"/>
  <c r="B15" i="6"/>
  <c r="B14" i="6"/>
  <c r="B5" i="6"/>
  <c r="A15" i="6"/>
  <c r="A16" i="6"/>
  <c r="A17" i="6"/>
  <c r="A18" i="6"/>
  <c r="A19" i="6"/>
  <c r="A20" i="6"/>
  <c r="A21" i="6"/>
  <c r="A22" i="6"/>
  <c r="A23" i="6"/>
  <c r="A24" i="6"/>
  <c r="A25" i="6"/>
  <c r="A26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B26" i="5"/>
  <c r="B15" i="5"/>
  <c r="B14" i="5"/>
  <c r="B5" i="5"/>
  <c r="A15" i="5"/>
  <c r="A16" i="5"/>
  <c r="A17" i="5"/>
  <c r="A18" i="5"/>
  <c r="A19" i="5"/>
  <c r="A20" i="5"/>
  <c r="A21" i="5"/>
  <c r="A22" i="5"/>
  <c r="A23" i="5"/>
  <c r="A24" i="5"/>
  <c r="A25" i="5"/>
  <c r="A26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B26" i="4"/>
  <c r="B15" i="4"/>
  <c r="B14" i="4"/>
  <c r="B5" i="4"/>
  <c r="A15" i="4"/>
  <c r="A16" i="4"/>
  <c r="A17" i="4"/>
  <c r="A18" i="4"/>
  <c r="A19" i="4"/>
  <c r="A20" i="4"/>
  <c r="A21" i="4"/>
  <c r="A22" i="4"/>
  <c r="A23" i="4"/>
  <c r="A24" i="4"/>
  <c r="A25" i="4"/>
  <c r="A26" i="4"/>
  <c r="G14" i="4"/>
  <c r="G15" i="4"/>
  <c r="A48" i="40"/>
  <c r="A49" i="40"/>
  <c r="G91" i="113"/>
  <c r="D36" i="24"/>
  <c r="E36" i="24"/>
  <c r="F36" i="23"/>
  <c r="J35" i="11"/>
  <c r="I35" i="11"/>
  <c r="D35" i="11"/>
  <c r="E35" i="11"/>
  <c r="A27" i="5"/>
  <c r="A28" i="5"/>
  <c r="A29" i="5"/>
  <c r="A30" i="5"/>
  <c r="A31" i="5"/>
  <c r="D28" i="5"/>
  <c r="D31" i="5"/>
  <c r="F28" i="5"/>
  <c r="A27" i="7"/>
  <c r="A28" i="7"/>
  <c r="A29" i="7"/>
  <c r="A30" i="7"/>
  <c r="A31" i="7"/>
  <c r="D28" i="7"/>
  <c r="D31" i="7"/>
  <c r="F28" i="7"/>
  <c r="A27" i="6"/>
  <c r="A28" i="6"/>
  <c r="A29" i="6"/>
  <c r="A30" i="6"/>
  <c r="A31" i="6"/>
  <c r="D31" i="6"/>
  <c r="D28" i="6"/>
  <c r="F28" i="6"/>
  <c r="F31" i="6"/>
  <c r="D20" i="8"/>
  <c r="F20" i="8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E28" i="5"/>
  <c r="E31" i="5"/>
  <c r="I13" i="2"/>
  <c r="A27" i="9"/>
  <c r="A28" i="9"/>
  <c r="A29" i="9"/>
  <c r="A30" i="9"/>
  <c r="A31" i="9"/>
  <c r="D31" i="9"/>
  <c r="D28" i="9"/>
  <c r="F28" i="9"/>
  <c r="A20" i="3"/>
  <c r="K25" i="2"/>
  <c r="A20" i="26"/>
  <c r="K15" i="22"/>
  <c r="A32" i="109"/>
  <c r="G11" i="38"/>
  <c r="A20" i="13"/>
  <c r="K27" i="2"/>
  <c r="A20" i="25"/>
  <c r="K13" i="22"/>
  <c r="A27" i="4"/>
  <c r="A28" i="4"/>
  <c r="A29" i="4"/>
  <c r="A30" i="4"/>
  <c r="A31" i="4"/>
  <c r="F28" i="4"/>
  <c r="D31" i="4"/>
  <c r="D28" i="4"/>
  <c r="K39" i="2"/>
  <c r="G52" i="40"/>
  <c r="K37" i="2"/>
  <c r="G65" i="113"/>
  <c r="C28" i="5"/>
  <c r="C31" i="5"/>
  <c r="A43" i="82"/>
  <c r="A44" i="82"/>
  <c r="A45" i="82"/>
  <c r="A46" i="82"/>
  <c r="I49" i="82"/>
  <c r="I39" i="82"/>
  <c r="A107" i="82"/>
  <c r="A108" i="82"/>
  <c r="G34" i="66"/>
  <c r="H36" i="24"/>
  <c r="A23" i="24"/>
  <c r="A24" i="24"/>
  <c r="K33" i="11"/>
  <c r="A22" i="11"/>
  <c r="A23" i="11"/>
  <c r="E28" i="9"/>
  <c r="E31" i="9" s="1"/>
  <c r="E36" i="9" s="1"/>
  <c r="I21" i="2" s="1"/>
  <c r="C28" i="9"/>
  <c r="C31" i="9" s="1"/>
  <c r="C20" i="8"/>
  <c r="A18" i="8"/>
  <c r="A19" i="8"/>
  <c r="A20" i="8"/>
  <c r="E28" i="7"/>
  <c r="E31" i="7"/>
  <c r="I17" i="2"/>
  <c r="E61" i="40" s="1"/>
  <c r="C28" i="7"/>
  <c r="C31" i="7" s="1"/>
  <c r="E28" i="6"/>
  <c r="E31" i="6"/>
  <c r="I15" i="2"/>
  <c r="C28" i="6"/>
  <c r="C31" i="6"/>
  <c r="E28" i="4"/>
  <c r="E31" i="4"/>
  <c r="I11" i="2" s="1"/>
  <c r="E59" i="40" s="1"/>
  <c r="C28" i="4"/>
  <c r="C31" i="4" s="1"/>
  <c r="G49" i="40"/>
  <c r="A50" i="40"/>
  <c r="A51" i="40"/>
  <c r="A52" i="40"/>
  <c r="I23" i="69"/>
  <c r="G55" i="113"/>
  <c r="G97" i="113"/>
  <c r="G95" i="113"/>
  <c r="A21" i="8"/>
  <c r="K19" i="2"/>
  <c r="A32" i="6"/>
  <c r="K15" i="2"/>
  <c r="A47" i="82"/>
  <c r="A48" i="82"/>
  <c r="A32" i="4"/>
  <c r="K11" i="2"/>
  <c r="A109" i="82"/>
  <c r="A110" i="82"/>
  <c r="I16" i="114"/>
  <c r="A32" i="7"/>
  <c r="K17" i="2"/>
  <c r="A32" i="5"/>
  <c r="K13" i="2"/>
  <c r="A32" i="9"/>
  <c r="A33" i="9"/>
  <c r="A34" i="9"/>
  <c r="I110" i="82"/>
  <c r="G38" i="66"/>
  <c r="A25" i="24"/>
  <c r="A26" i="24"/>
  <c r="A27" i="24"/>
  <c r="A28" i="24"/>
  <c r="A29" i="24"/>
  <c r="A30" i="24"/>
  <c r="A31" i="24"/>
  <c r="A32" i="24"/>
  <c r="A33" i="24"/>
  <c r="A34" i="24"/>
  <c r="A24" i="11"/>
  <c r="A25" i="11"/>
  <c r="A26" i="11"/>
  <c r="A27" i="11"/>
  <c r="A28" i="11"/>
  <c r="A29" i="11"/>
  <c r="A30" i="11"/>
  <c r="A31" i="11"/>
  <c r="A32" i="11"/>
  <c r="A33" i="11"/>
  <c r="A53" i="40"/>
  <c r="A54" i="40"/>
  <c r="A55" i="40"/>
  <c r="A56" i="40"/>
  <c r="G58" i="40"/>
  <c r="G56" i="40"/>
  <c r="G22" i="113"/>
  <c r="A35" i="9"/>
  <c r="A36" i="9"/>
  <c r="K21" i="2"/>
  <c r="G76" i="113"/>
  <c r="G19" i="111"/>
  <c r="L33" i="11"/>
  <c r="F36" i="9"/>
  <c r="E62" i="146"/>
  <c r="A49" i="82"/>
  <c r="A35" i="24"/>
  <c r="A36" i="24"/>
  <c r="L36" i="24"/>
  <c r="L34" i="24"/>
  <c r="A34" i="11"/>
  <c r="A35" i="11"/>
  <c r="L35" i="11"/>
  <c r="A57" i="40"/>
  <c r="A58" i="40"/>
  <c r="E63" i="146"/>
  <c r="G54" i="40"/>
  <c r="A50" i="82"/>
  <c r="I50" i="82"/>
  <c r="I52" i="82"/>
  <c r="C28" i="109"/>
  <c r="C31" i="109"/>
  <c r="E11" i="38"/>
  <c r="C19" i="146"/>
  <c r="A59" i="40"/>
  <c r="A60" i="40"/>
  <c r="A61" i="40"/>
  <c r="A62" i="40"/>
  <c r="A63" i="40"/>
  <c r="A64" i="40"/>
  <c r="A65" i="40"/>
  <c r="A66" i="40"/>
  <c r="E64" i="146"/>
  <c r="G55" i="40"/>
  <c r="K43" i="2"/>
  <c r="I108" i="82"/>
  <c r="A51" i="82"/>
  <c r="A52" i="82"/>
  <c r="A53" i="82"/>
  <c r="A54" i="82"/>
  <c r="A55" i="82"/>
  <c r="G66" i="40"/>
  <c r="A67" i="40"/>
  <c r="A68" i="40"/>
  <c r="G68" i="40"/>
  <c r="A56" i="82"/>
  <c r="I13" i="69"/>
  <c r="K45" i="2"/>
  <c r="I85" i="82"/>
  <c r="G25" i="66"/>
  <c r="G48" i="40"/>
  <c r="A57" i="82"/>
  <c r="A58" i="82"/>
  <c r="A59" i="82"/>
  <c r="A60" i="82"/>
  <c r="A61" i="82"/>
  <c r="A62" i="82"/>
  <c r="I65" i="82"/>
  <c r="A63" i="82"/>
  <c r="I63" i="82"/>
  <c r="A64" i="82"/>
  <c r="A65" i="82"/>
  <c r="I130" i="82"/>
  <c r="I153" i="82"/>
  <c r="C27" i="71"/>
  <c r="C30" i="71" s="1"/>
  <c r="G17" i="69" s="1"/>
  <c r="B44" i="112"/>
  <c r="E13" i="112"/>
  <c r="E14" i="112"/>
  <c r="E15" i="112"/>
  <c r="E16" i="112"/>
  <c r="E17" i="112"/>
  <c r="E18" i="112"/>
  <c r="E19" i="112"/>
  <c r="E20" i="112"/>
  <c r="E21" i="112"/>
  <c r="E22" i="112"/>
  <c r="E23" i="112"/>
  <c r="E24" i="112"/>
  <c r="E25" i="112"/>
  <c r="E26" i="112"/>
  <c r="E27" i="112"/>
  <c r="E28" i="112"/>
  <c r="E33" i="112"/>
  <c r="E34" i="112"/>
  <c r="E35" i="112"/>
  <c r="E36" i="112"/>
  <c r="E37" i="112"/>
  <c r="E38" i="112"/>
  <c r="E39" i="112"/>
  <c r="E40" i="112"/>
  <c r="E41" i="112"/>
  <c r="E42" i="112"/>
  <c r="E43" i="112"/>
  <c r="E44" i="112"/>
  <c r="E45" i="112"/>
  <c r="E46" i="112"/>
  <c r="E47" i="112"/>
  <c r="E48" i="112"/>
  <c r="E49" i="112"/>
  <c r="E50" i="112"/>
  <c r="E51" i="112"/>
  <c r="E52" i="112"/>
  <c r="E53" i="112"/>
  <c r="E22" i="150"/>
  <c r="E42" i="150"/>
  <c r="E38" i="150"/>
  <c r="E54" i="150"/>
  <c r="E53" i="150"/>
  <c r="E51" i="150"/>
  <c r="E50" i="150"/>
  <c r="E49" i="150"/>
  <c r="E48" i="150"/>
  <c r="E47" i="150"/>
  <c r="E46" i="150"/>
  <c r="E45" i="150"/>
  <c r="E44" i="150"/>
  <c r="E43" i="150"/>
  <c r="E39" i="150"/>
  <c r="E23" i="150"/>
  <c r="I21" i="34"/>
  <c r="C25" i="146"/>
  <c r="A33" i="112"/>
  <c r="A34" i="112"/>
  <c r="A35" i="112"/>
  <c r="A36" i="112"/>
  <c r="A37" i="112"/>
  <c r="A38" i="112"/>
  <c r="A39" i="112"/>
  <c r="A40" i="112"/>
  <c r="A41" i="112"/>
  <c r="A42" i="112"/>
  <c r="A43" i="112"/>
  <c r="A44" i="112"/>
  <c r="A45" i="112"/>
  <c r="A46" i="112"/>
  <c r="A47" i="112"/>
  <c r="A48" i="112"/>
  <c r="A49" i="112"/>
  <c r="A50" i="112"/>
  <c r="A51" i="112"/>
  <c r="A52" i="112"/>
  <c r="A53" i="112"/>
  <c r="D40" i="112"/>
  <c r="D48" i="112"/>
  <c r="D52" i="112"/>
  <c r="G33" i="114"/>
  <c r="G31" i="114"/>
  <c r="G29" i="114"/>
  <c r="G27" i="114"/>
  <c r="G25" i="114"/>
  <c r="G36" i="114"/>
  <c r="G38" i="114"/>
  <c r="G40" i="114"/>
  <c r="E34" i="66"/>
  <c r="C15" i="135"/>
  <c r="D15" i="135"/>
  <c r="C21" i="146"/>
  <c r="C29" i="70"/>
  <c r="C32" i="70" s="1"/>
  <c r="G11" i="69" s="1"/>
  <c r="D16" i="159"/>
  <c r="E16" i="159"/>
  <c r="F12" i="42"/>
  <c r="I87" i="82" l="1"/>
  <c r="I35" i="2"/>
  <c r="E52" i="40" s="1"/>
  <c r="E58" i="40" s="1"/>
  <c r="C61" i="146"/>
  <c r="K35" i="10"/>
  <c r="K35" i="11"/>
  <c r="I29" i="2"/>
  <c r="I31" i="2"/>
  <c r="E65" i="40"/>
  <c r="E66" i="40" s="1"/>
  <c r="E38" i="41"/>
  <c r="F38" i="41" s="1"/>
  <c r="E13" i="34"/>
  <c r="E17" i="34" s="1"/>
  <c r="G13" i="34"/>
  <c r="G17" i="34"/>
  <c r="I11" i="34"/>
  <c r="E36" i="23"/>
  <c r="I11" i="22" s="1"/>
  <c r="C68" i="146" s="1"/>
  <c r="C75" i="146" s="1"/>
  <c r="C12" i="146" s="1"/>
  <c r="K36" i="152"/>
  <c r="K36" i="24"/>
  <c r="F36" i="24"/>
  <c r="G17" i="157"/>
  <c r="D25" i="158"/>
  <c r="D20" i="158"/>
  <c r="C20" i="157"/>
  <c r="C28" i="157"/>
  <c r="C19" i="157"/>
  <c r="C21" i="157"/>
  <c r="C23" i="157"/>
  <c r="C18" i="157"/>
  <c r="C25" i="157"/>
  <c r="C22" i="157"/>
  <c r="C27" i="157"/>
  <c r="C24" i="157"/>
  <c r="C26" i="157"/>
  <c r="B5" i="45"/>
  <c r="H17" i="157"/>
  <c r="G26" i="156"/>
  <c r="G25" i="156"/>
  <c r="G27" i="156"/>
  <c r="G24" i="156"/>
  <c r="G23" i="156"/>
  <c r="G30" i="156"/>
  <c r="G22" i="156"/>
  <c r="G29" i="156"/>
  <c r="G21" i="156"/>
  <c r="G28" i="156"/>
  <c r="G20" i="156"/>
  <c r="G31" i="156" s="1"/>
  <c r="F29" i="156"/>
  <c r="F25" i="156"/>
  <c r="F21" i="156"/>
  <c r="F28" i="156"/>
  <c r="F24" i="156"/>
  <c r="F20" i="156"/>
  <c r="F31" i="156" s="1"/>
  <c r="F27" i="156"/>
  <c r="F23" i="156"/>
  <c r="F30" i="156"/>
  <c r="F26" i="156"/>
  <c r="F22" i="156"/>
  <c r="C52" i="169"/>
  <c r="E47" i="42"/>
  <c r="E43" i="40"/>
  <c r="E45" i="40" s="1"/>
  <c r="F16" i="42"/>
  <c r="A16" i="42"/>
  <c r="A17" i="42" s="1"/>
  <c r="A18" i="42" s="1"/>
  <c r="A19" i="42" s="1"/>
  <c r="A20" i="42" s="1"/>
  <c r="A21" i="42" s="1"/>
  <c r="A22" i="42" s="1"/>
  <c r="A23" i="42" s="1"/>
  <c r="A24" i="42" s="1"/>
  <c r="G44" i="40"/>
  <c r="F21" i="42"/>
  <c r="E20" i="40"/>
  <c r="E20" i="41"/>
  <c r="F20" i="41" s="1"/>
  <c r="F27" i="41" s="1"/>
  <c r="A26" i="41"/>
  <c r="A27" i="41" s="1"/>
  <c r="G27" i="41"/>
  <c r="F37" i="41"/>
  <c r="F41" i="41" s="1"/>
  <c r="E41" i="41"/>
  <c r="E24" i="40"/>
  <c r="E67" i="41"/>
  <c r="E57" i="150"/>
  <c r="E59" i="150" s="1"/>
  <c r="C50" i="82"/>
  <c r="D49" i="82" s="1"/>
  <c r="G49" i="82" s="1"/>
  <c r="D43" i="41"/>
  <c r="D47" i="41" s="1"/>
  <c r="E15" i="40" s="1"/>
  <c r="E27" i="41" l="1"/>
  <c r="I13" i="34"/>
  <c r="I17" i="34" s="1"/>
  <c r="C24" i="146" s="1"/>
  <c r="C26" i="146" s="1"/>
  <c r="F18" i="157"/>
  <c r="G18" i="157"/>
  <c r="E19" i="156"/>
  <c r="E26" i="156"/>
  <c r="H26" i="156" s="1"/>
  <c r="E23" i="156"/>
  <c r="H23" i="156" s="1"/>
  <c r="H19" i="156"/>
  <c r="E28" i="156"/>
  <c r="H28" i="156" s="1"/>
  <c r="E20" i="156"/>
  <c r="H20" i="156" s="1"/>
  <c r="E25" i="156"/>
  <c r="H25" i="156" s="1"/>
  <c r="E30" i="156"/>
  <c r="H30" i="156" s="1"/>
  <c r="E22" i="156"/>
  <c r="H22" i="156" s="1"/>
  <c r="E27" i="156"/>
  <c r="H27" i="156" s="1"/>
  <c r="E24" i="156"/>
  <c r="H24" i="156" s="1"/>
  <c r="E29" i="156"/>
  <c r="H29" i="156" s="1"/>
  <c r="E21" i="156"/>
  <c r="H21" i="156" s="1"/>
  <c r="F26" i="42"/>
  <c r="F30" i="42" s="1"/>
  <c r="E26" i="42"/>
  <c r="E30" i="42" s="1"/>
  <c r="A25" i="42"/>
  <c r="A26" i="42" s="1"/>
  <c r="G26" i="42"/>
  <c r="E27" i="40"/>
  <c r="E50" i="113" s="1"/>
  <c r="F43" i="41"/>
  <c r="F47" i="41" s="1"/>
  <c r="A28" i="41"/>
  <c r="A29" i="41" s="1"/>
  <c r="A30" i="41" s="1"/>
  <c r="E43" i="41"/>
  <c r="E47" i="41" s="1"/>
  <c r="E15" i="45"/>
  <c r="E25" i="45" s="1"/>
  <c r="E27" i="45" s="1"/>
  <c r="D47" i="82"/>
  <c r="D48" i="82"/>
  <c r="G48" i="82" s="1"/>
  <c r="G52" i="82" s="1"/>
  <c r="G85" i="82" s="1"/>
  <c r="G97" i="82" s="1"/>
  <c r="H18" i="157" l="1"/>
  <c r="H31" i="156"/>
  <c r="E31" i="156"/>
  <c r="A27" i="42"/>
  <c r="A28" i="42" s="1"/>
  <c r="A29" i="42" s="1"/>
  <c r="A30" i="42" s="1"/>
  <c r="E22" i="69"/>
  <c r="A31" i="4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E36" i="66"/>
  <c r="E38" i="66" s="1"/>
  <c r="E65" i="113" s="1"/>
  <c r="I19" i="22"/>
  <c r="E46" i="40"/>
  <c r="E47" i="40" s="1"/>
  <c r="E19" i="46"/>
  <c r="I33" i="2"/>
  <c r="D50" i="82"/>
  <c r="G47" i="82"/>
  <c r="G50" i="82" s="1"/>
  <c r="G108" i="82" s="1"/>
  <c r="F19" i="157" l="1"/>
  <c r="G19" i="157"/>
  <c r="G30" i="42"/>
  <c r="G30" i="40"/>
  <c r="A31" i="42"/>
  <c r="A32" i="42" s="1"/>
  <c r="A33" i="42" s="1"/>
  <c r="G41" i="41"/>
  <c r="A42" i="41"/>
  <c r="A43" i="41" s="1"/>
  <c r="G43" i="41"/>
  <c r="I41" i="2"/>
  <c r="I39" i="2"/>
  <c r="I37" i="2"/>
  <c r="E21" i="46"/>
  <c r="E25" i="46"/>
  <c r="E23" i="46"/>
  <c r="I23" i="22"/>
  <c r="C70" i="146" s="1"/>
  <c r="I21" i="22"/>
  <c r="I25" i="22"/>
  <c r="C71" i="146" s="1"/>
  <c r="H19" i="157" l="1"/>
  <c r="A44" i="41"/>
  <c r="A45" i="41" s="1"/>
  <c r="A46" i="41" s="1"/>
  <c r="A47" i="41" s="1"/>
  <c r="E27" i="46"/>
  <c r="E93" i="113" s="1"/>
  <c r="C64" i="146"/>
  <c r="C78" i="146" s="1"/>
  <c r="C15" i="146" s="1"/>
  <c r="E85" i="113" s="1"/>
  <c r="E55" i="40"/>
  <c r="C69" i="146"/>
  <c r="C72" i="146" s="1"/>
  <c r="I27" i="22"/>
  <c r="C62" i="146"/>
  <c r="I43" i="2"/>
  <c r="I45" i="2" s="1"/>
  <c r="G13" i="69" s="1"/>
  <c r="E54" i="40"/>
  <c r="C63" i="146"/>
  <c r="C77" i="146" s="1"/>
  <c r="C14" i="146" s="1"/>
  <c r="E83" i="113" s="1"/>
  <c r="F20" i="157" l="1"/>
  <c r="G20" i="157"/>
  <c r="G47" i="41"/>
  <c r="G15" i="40"/>
  <c r="A48" i="41"/>
  <c r="A49" i="41" s="1"/>
  <c r="A50" i="41" s="1"/>
  <c r="A51" i="41" s="1"/>
  <c r="A52" i="41" s="1"/>
  <c r="G15" i="69"/>
  <c r="G19" i="69"/>
  <c r="C76" i="146"/>
  <c r="C65" i="146"/>
  <c r="E87" i="113"/>
  <c r="E56" i="40"/>
  <c r="E68" i="40" s="1"/>
  <c r="H20" i="157" l="1"/>
  <c r="G17" i="40"/>
  <c r="A53" i="41"/>
  <c r="C30" i="146"/>
  <c r="E72" i="113"/>
  <c r="E71" i="113"/>
  <c r="C29" i="146"/>
  <c r="E25" i="66"/>
  <c r="E27" i="66" s="1"/>
  <c r="E60" i="113" s="1"/>
  <c r="E48" i="40"/>
  <c r="E49" i="40" s="1"/>
  <c r="C79" i="146"/>
  <c r="C13" i="146"/>
  <c r="C16" i="146" s="1"/>
  <c r="E47" i="113" s="1"/>
  <c r="F21" i="157" l="1"/>
  <c r="G21" i="157"/>
  <c r="G18" i="40"/>
  <c r="A54" i="41"/>
  <c r="E52" i="113"/>
  <c r="E12" i="113" s="1"/>
  <c r="E67" i="113"/>
  <c r="E18" i="113" s="1"/>
  <c r="E23" i="69"/>
  <c r="E25" i="69" s="1"/>
  <c r="E29" i="69" s="1"/>
  <c r="E55" i="113"/>
  <c r="E57" i="113" s="1"/>
  <c r="E14" i="113" s="1"/>
  <c r="E62" i="113"/>
  <c r="E16" i="113" s="1"/>
  <c r="H21" i="157" l="1"/>
  <c r="G19" i="40"/>
  <c r="A55" i="41"/>
  <c r="C31" i="146"/>
  <c r="C32" i="146" s="1"/>
  <c r="C36" i="146" s="1"/>
  <c r="G88" i="82" s="1"/>
  <c r="E73" i="113"/>
  <c r="E74" i="113" s="1"/>
  <c r="F22" i="157" l="1"/>
  <c r="G22" i="157"/>
  <c r="A56" i="41"/>
  <c r="G20" i="40"/>
  <c r="G99" i="82"/>
  <c r="G91" i="82"/>
  <c r="G100" i="82" s="1"/>
  <c r="H22" i="157" l="1"/>
  <c r="A57" i="4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G21" i="40"/>
  <c r="G103" i="82"/>
  <c r="G106" i="82" s="1"/>
  <c r="G110" i="82" s="1"/>
  <c r="F23" i="157" l="1"/>
  <c r="G23" i="157"/>
  <c r="E19" i="111"/>
  <c r="E21" i="111" s="1"/>
  <c r="E23" i="111" s="1"/>
  <c r="E25" i="111" s="1"/>
  <c r="E27" i="111" s="1"/>
  <c r="C11" i="112" s="1"/>
  <c r="E76" i="113"/>
  <c r="G16" i="114"/>
  <c r="G18" i="114" s="1"/>
  <c r="G42" i="114" s="1"/>
  <c r="C15" i="112" s="1"/>
  <c r="C38" i="112" s="1"/>
  <c r="H23" i="157" l="1"/>
  <c r="G23" i="40"/>
  <c r="E89" i="113"/>
  <c r="E91" i="113" s="1"/>
  <c r="E95" i="113" s="1"/>
  <c r="E97" i="113" s="1"/>
  <c r="E22" i="113" s="1"/>
  <c r="E78" i="113"/>
  <c r="E80" i="113" s="1"/>
  <c r="E20" i="113" s="1"/>
  <c r="C34" i="112"/>
  <c r="F24" i="157" l="1"/>
  <c r="G24" i="157"/>
  <c r="G24" i="40"/>
  <c r="E24" i="113"/>
  <c r="E26" i="113" s="1"/>
  <c r="E28" i="113" s="1"/>
  <c r="E33" i="113" s="1"/>
  <c r="E35" i="113" s="1"/>
  <c r="C13" i="112" s="1"/>
  <c r="C36" i="112" s="1"/>
  <c r="C40" i="112" s="1"/>
  <c r="D19" i="156" s="1"/>
  <c r="D26" i="156" s="1"/>
  <c r="I26" i="156" s="1"/>
  <c r="H24" i="157" l="1"/>
  <c r="G25" i="40"/>
  <c r="I19" i="156"/>
  <c r="K19" i="156" s="1"/>
  <c r="D25" i="156"/>
  <c r="I25" i="156" s="1"/>
  <c r="D21" i="156"/>
  <c r="I21" i="156" s="1"/>
  <c r="D22" i="156"/>
  <c r="I22" i="156" s="1"/>
  <c r="C17" i="112"/>
  <c r="D30" i="156"/>
  <c r="I30" i="156" s="1"/>
  <c r="D27" i="156"/>
  <c r="I27" i="156" s="1"/>
  <c r="D20" i="156"/>
  <c r="I20" i="156" s="1"/>
  <c r="D24" i="156"/>
  <c r="I24" i="156" s="1"/>
  <c r="D28" i="156"/>
  <c r="I28" i="156" s="1"/>
  <c r="D29" i="156"/>
  <c r="I29" i="156" s="1"/>
  <c r="D23" i="156"/>
  <c r="I23" i="156" s="1"/>
  <c r="F25" i="157" l="1"/>
  <c r="G25" i="157"/>
  <c r="L19" i="156"/>
  <c r="M19" i="156" s="1"/>
  <c r="I31" i="156"/>
  <c r="D31" i="156"/>
  <c r="H25" i="157" l="1"/>
  <c r="K20" i="156"/>
  <c r="F26" i="157" l="1"/>
  <c r="L20" i="156"/>
  <c r="M20" i="156" s="1"/>
  <c r="K21" i="156" s="1"/>
  <c r="G26" i="157" l="1"/>
  <c r="H26" i="157" s="1"/>
  <c r="L21" i="156"/>
  <c r="M21" i="156" s="1"/>
  <c r="F27" i="157" l="1"/>
  <c r="G27" i="157"/>
  <c r="K22" i="156"/>
  <c r="L22" i="156" s="1"/>
  <c r="M22" i="156" s="1"/>
  <c r="K23" i="156" s="1"/>
  <c r="H27" i="157" l="1"/>
  <c r="L23" i="156"/>
  <c r="M23" i="156" s="1"/>
  <c r="K24" i="156" s="1"/>
  <c r="F28" i="157" l="1"/>
  <c r="G28" i="157" s="1"/>
  <c r="G29" i="157" s="1"/>
  <c r="H29" i="158" s="1"/>
  <c r="L24" i="156"/>
  <c r="M24" i="156" s="1"/>
  <c r="H28" i="157" l="1"/>
  <c r="E17" i="158" s="1"/>
  <c r="K25" i="156"/>
  <c r="L25" i="156" s="1"/>
  <c r="M25" i="156" s="1"/>
  <c r="K26" i="156" s="1"/>
  <c r="L26" i="156" s="1"/>
  <c r="F21" i="158" l="1"/>
  <c r="F20" i="158"/>
  <c r="F27" i="158"/>
  <c r="F28" i="158"/>
  <c r="F26" i="158"/>
  <c r="F23" i="158"/>
  <c r="F19" i="158"/>
  <c r="F22" i="158"/>
  <c r="F18" i="158"/>
  <c r="F17" i="158"/>
  <c r="F25" i="158"/>
  <c r="H17" i="158"/>
  <c r="F24" i="158"/>
  <c r="M26" i="156"/>
  <c r="G17" i="158" l="1"/>
  <c r="I17" i="158" s="1"/>
  <c r="E18" i="158" s="1"/>
  <c r="K27" i="156"/>
  <c r="L27" i="156" s="1"/>
  <c r="H18" i="158" l="1"/>
  <c r="M27" i="156"/>
  <c r="G18" i="158" l="1"/>
  <c r="I18" i="158" s="1"/>
  <c r="E19" i="158" s="1"/>
  <c r="K28" i="156"/>
  <c r="L28" i="156" s="1"/>
  <c r="H19" i="158" l="1"/>
  <c r="M28" i="156"/>
  <c r="G19" i="158" l="1"/>
  <c r="I19" i="158" s="1"/>
  <c r="E20" i="158" s="1"/>
  <c r="K29" i="156"/>
  <c r="L29" i="156" s="1"/>
  <c r="H20" i="158" l="1"/>
  <c r="M29" i="156"/>
  <c r="G20" i="158" l="1"/>
  <c r="I20" i="158" s="1"/>
  <c r="E21" i="158" s="1"/>
  <c r="K30" i="156"/>
  <c r="H21" i="158" l="1"/>
  <c r="G21" i="158" s="1"/>
  <c r="I21" i="158" s="1"/>
  <c r="E22" i="158" s="1"/>
  <c r="L30" i="156"/>
  <c r="L31" i="156" s="1"/>
  <c r="H22" i="158" l="1"/>
  <c r="G22" i="158" s="1"/>
  <c r="I22" i="158" s="1"/>
  <c r="E23" i="158" s="1"/>
  <c r="M30" i="156"/>
  <c r="C19" i="112" s="1"/>
  <c r="H23" i="158" l="1"/>
  <c r="G23" i="158" s="1"/>
  <c r="I23" i="158" s="1"/>
  <c r="E24" i="158" s="1"/>
  <c r="C42" i="112"/>
  <c r="H24" i="158" l="1"/>
  <c r="G24" i="158" s="1"/>
  <c r="I24" i="158"/>
  <c r="E25" i="158" s="1"/>
  <c r="H25" i="158" l="1"/>
  <c r="G25" i="158" s="1"/>
  <c r="I25" i="158" s="1"/>
  <c r="E26" i="158" s="1"/>
  <c r="H26" i="158" l="1"/>
  <c r="G26" i="158" s="1"/>
  <c r="I26" i="158" s="1"/>
  <c r="E27" i="158" s="1"/>
  <c r="H27" i="158" l="1"/>
  <c r="G27" i="158" s="1"/>
  <c r="I27" i="158" s="1"/>
  <c r="E28" i="158" s="1"/>
  <c r="H28" i="158" l="1"/>
  <c r="G28" i="158" l="1"/>
  <c r="I28" i="158" s="1"/>
  <c r="H30" i="158"/>
  <c r="C21" i="112" s="1"/>
  <c r="C44" i="112" l="1"/>
  <c r="C23" i="112"/>
  <c r="C27" i="112" s="1"/>
  <c r="C48" i="112" s="1"/>
  <c r="C52" i="112" s="1"/>
</calcChain>
</file>

<file path=xl/sharedStrings.xml><?xml version="1.0" encoding="utf-8"?>
<sst xmlns="http://schemas.openxmlformats.org/spreadsheetml/2006/main" count="2479" uniqueCount="1041">
  <si>
    <t>SAN DIEGO GAS &amp; ELECTRIC COMPANY</t>
  </si>
  <si>
    <t>CITIZENS' SHARE OF THE SX-PQ UNDERGROUND LINE SEGMENT</t>
  </si>
  <si>
    <t>Summary of Cost Components</t>
  </si>
  <si>
    <t>($1,000)</t>
  </si>
  <si>
    <t>Line</t>
  </si>
  <si>
    <t>No.</t>
  </si>
  <si>
    <t>Description of Annual Costs</t>
  </si>
  <si>
    <t>Amounts</t>
  </si>
  <si>
    <t>Reference</t>
  </si>
  <si>
    <t>Section 1 - Direct Maintenance Expense Cost Component</t>
  </si>
  <si>
    <t>Section 2 - Non-Direct Expense Cost Component</t>
  </si>
  <si>
    <t>Section 3 - Cost Component Containing Other Specific Expenses</t>
  </si>
  <si>
    <t>Total Citizens Annual Prior Year Cost of Service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</si>
  <si>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</si>
  <si>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</si>
  <si>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</si>
  <si>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</si>
  <si>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Cost Adjustment Workpapers</t>
  </si>
  <si>
    <t>Total Annual Costs</t>
  </si>
  <si>
    <t>Description of Monthly Costs</t>
  </si>
  <si>
    <t>Total Citizens Monthly Prior Year Cost of Service</t>
  </si>
  <si>
    <t>Total Monthly Costs</t>
  </si>
  <si>
    <t>Number of Months in Base Period</t>
  </si>
  <si>
    <t>A. Derivation of Direct Maintenance Expense Allocated to Citizens</t>
  </si>
  <si>
    <t xml:space="preserve">Total Direct Maintenance Cost  </t>
  </si>
  <si>
    <t>Citizens' Share of Direct Maintenance</t>
  </si>
  <si>
    <t xml:space="preserve">     Citizens Direct Maintenance</t>
  </si>
  <si>
    <t>One Eighth O&amp;M Rule</t>
  </si>
  <si>
    <t>FERC Method = 1/8 of O&amp;M Expense</t>
  </si>
  <si>
    <t xml:space="preserve">     Citizens Portion of Cash Working Capital</t>
  </si>
  <si>
    <t>Cost of Capital Rate</t>
  </si>
  <si>
    <t>Return and Associated Income Taxes</t>
  </si>
  <si>
    <t xml:space="preserve">     Subtotal of Citizens Direct Maintenance Excluding FF</t>
  </si>
  <si>
    <t>Transmission Related Municipal Franchise Fees Expense</t>
  </si>
  <si>
    <t xml:space="preserve">     Total Direct Maintenance Expense Including FF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</si>
  <si>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</si>
  <si>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</si>
  <si>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</si>
  <si>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</si>
  <si>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</si>
  <si>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</si>
  <si>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</si>
  <si>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</si>
  <si>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</si>
  <si>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</si>
  <si>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</si>
  <si>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</si>
  <si>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</si>
  <si>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</si>
  <si>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</si>
  <si>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</si>
  <si>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</si>
  <si>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</si>
  <si>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</si>
  <si>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</si>
  <si>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</si>
  <si>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</si>
  <si>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</si>
  <si>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</si>
  <si>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</si>
  <si>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</si>
  <si>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</si>
  <si>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</si>
  <si>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</si>
  <si>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</si>
  <si>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</si>
  <si>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</si>
  <si>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</si>
  <si>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</si>
  <si>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</si>
  <si>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</si>
  <si>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</si>
  <si>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</si>
  <si>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</si>
  <si>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</si>
  <si>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</si>
  <si>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</si>
  <si>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(a)</t>
  </si>
  <si>
    <t>(b)</t>
  </si>
  <si>
    <t>(c) = (a) x (b)</t>
  </si>
  <si>
    <t>Total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</si>
  <si>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</si>
  <si>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</si>
  <si>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</si>
  <si>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</si>
  <si>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</si>
  <si>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</si>
  <si>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</si>
  <si>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</si>
  <si>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</si>
  <si>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SX-PQ Underground Line Segment Cost of Removal</t>
  </si>
  <si>
    <t>FERC Account</t>
  </si>
  <si>
    <t xml:space="preserve">   357 - Underground Conduit</t>
  </si>
  <si>
    <t xml:space="preserve">   358 - Underground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</si>
  <si>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</si>
  <si>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</si>
  <si>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</si>
  <si>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</si>
  <si>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</si>
  <si>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</si>
  <si>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</si>
  <si>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</si>
  <si>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</si>
  <si>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</si>
  <si>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</si>
  <si>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</si>
  <si>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</si>
  <si>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</si>
  <si>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</si>
  <si>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</si>
  <si>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</si>
  <si>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</si>
  <si>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</si>
  <si>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</si>
  <si>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</si>
  <si>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</si>
  <si>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</si>
  <si>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</si>
  <si>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</si>
  <si>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</si>
  <si>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</si>
  <si>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</si>
  <si>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</si>
  <si>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</si>
  <si>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</si>
  <si>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</si>
  <si>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</si>
  <si>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</si>
  <si>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</si>
  <si>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</si>
  <si>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</si>
  <si>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</si>
  <si>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</si>
  <si>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</si>
  <si>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</si>
  <si>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</si>
  <si>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</si>
  <si>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</si>
  <si>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</si>
  <si>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</si>
  <si>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</si>
  <si>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</si>
  <si>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</si>
  <si>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</si>
  <si>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</si>
  <si>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</si>
  <si>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</si>
  <si>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</si>
  <si>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</si>
  <si>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</si>
  <si>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</si>
  <si>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</si>
  <si>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Transmission Revenues Data to Reflect Changed Rates</t>
  </si>
  <si>
    <t>Prior Cycle</t>
  </si>
  <si>
    <t>Cumulative Overcollection (-) or</t>
  </si>
  <si>
    <t>True Up</t>
  </si>
  <si>
    <t>Undercollection (+) in Revenue</t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</si>
  <si>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</si>
  <si>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</si>
  <si>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</si>
  <si>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</si>
  <si>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</si>
  <si>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</si>
  <si>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</si>
  <si>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</si>
  <si>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</si>
  <si>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</si>
  <si>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</si>
  <si>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Represents the true-up adjustment from the previous annual cycle filing. SDG&amp;E accrues interest until the amount is fully collected/refunded in rates.</t>
  </si>
  <si>
    <t>The Cumulative Overcollection / Undercollection is: 1) the beginning balance in Column 2 for January; and 2) the previous month balance in Column 6 for all subsequent months.</t>
  </si>
  <si>
    <t>Interest is calculated using an average of beginning and ending balances: 1) January uses the entire balance from Column 4; and 2) subsequent months use the average of the prior month balance in</t>
  </si>
  <si>
    <t>Column 6 and the current month balance from Column 4.</t>
  </si>
  <si>
    <t>Beginning</t>
  </si>
  <si>
    <t>Ending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</si>
  <si>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</si>
  <si>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Balance</t>
  </si>
  <si>
    <t>Amortization</t>
  </si>
  <si>
    <t>Principal</t>
  </si>
  <si>
    <t>June</t>
  </si>
  <si>
    <t>Total Base Period Interest and Current Year Interest</t>
  </si>
  <si>
    <t>Rate is an average of the base period FERC Rates presented in the Section 4a True-Up calculation in Column 8 to derive a more accurate and consistent amortization amount (Column 4).</t>
  </si>
  <si>
    <t>The Beginning Balance  is: 1) the balance in Column 6; Line 18 from the Interest True-Up Base Period for January; and 2) the balance from previous month in Column 7 of this workpaper for all</t>
  </si>
  <si>
    <t>subsequent months.</t>
  </si>
  <si>
    <t>Amortization reduces the beginning balance to zero by the end of December and is derived as follows:</t>
  </si>
  <si>
    <t>Beginning Balance/{[(1+Rate)^12-1]/[Rate*(1+Rate)^12]}.</t>
  </si>
  <si>
    <t xml:space="preserve"> </t>
  </si>
  <si>
    <t>Statement AD</t>
  </si>
  <si>
    <t>Cost of Plant</t>
  </si>
  <si>
    <t>FERC Form 1</t>
  </si>
  <si>
    <t>(c) = [(a)+(b)]/2</t>
  </si>
  <si>
    <t>Page; Line; Col.</t>
  </si>
  <si>
    <t>Average Balance</t>
  </si>
  <si>
    <r>
      <t xml:space="preserve">Transmission Plant </t>
    </r>
    <r>
      <rPr>
        <b/>
        <vertAlign val="superscript"/>
        <sz val="12"/>
        <rFont val="Times New Roman"/>
        <family val="1"/>
      </rPr>
      <t>1, 3</t>
    </r>
  </si>
  <si>
    <r>
      <t xml:space="preserve">Incentive Transmission Plant </t>
    </r>
    <r>
      <rPr>
        <b/>
        <vertAlign val="superscript"/>
        <sz val="12"/>
        <rFont val="Times New Roman"/>
        <family val="1"/>
      </rPr>
      <t>1</t>
    </r>
  </si>
  <si>
    <r>
      <t>Total Electric Miscellaneous Intangible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</si>
  <si>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 xml:space="preserve">Total Common Plant </t>
    </r>
    <r>
      <rPr>
        <b/>
        <vertAlign val="superscript"/>
        <sz val="12"/>
        <rFont val="Times New Roman"/>
        <family val="1"/>
      </rPr>
      <t>2, 4</t>
    </r>
  </si>
  <si>
    <t xml:space="preserve">     Total Plant in Service </t>
  </si>
  <si>
    <t>Transmission Wages and Salaries Allocation Factor</t>
  </si>
  <si>
    <t>Total Transmission Plant &amp; Incentive Transmission Plant</t>
  </si>
  <si>
    <t>Transmission Related Electric Miscellaneous Intangible Plant</t>
  </si>
  <si>
    <t>Transmission Related General Plant</t>
  </si>
  <si>
    <t xml:space="preserve">Transmission Related Common Plant </t>
  </si>
  <si>
    <t xml:space="preserve">     Transmission Related Total Plant in Service </t>
  </si>
  <si>
    <t>The balances for Steam, Nuclear, Hydraulic, Other Production, Transmission, and Incentive Transmission plant are derived based on a 13-month average balance.</t>
  </si>
  <si>
    <t>The balances for Electric Miscellaneous Intangible, Distribution, General and Common plant are derived based on a simple average balance using beginning and ending year balances.</t>
  </si>
  <si>
    <t>The amounts stated above are ratemaking utility plant in service and a result of implementing the “Seven-Element Adjustment Factor” which reflects transfers between core electric functional areas.</t>
  </si>
  <si>
    <t>Not affected by the "Seven-Element Adjustment Factor".</t>
  </si>
  <si>
    <t>Used to allocate all elements of working capital, other than working cash.</t>
  </si>
  <si>
    <t>STATEMENT AD</t>
  </si>
  <si>
    <t>COST OF PLANT</t>
  </si>
  <si>
    <t>STEAM PRODUCTION</t>
  </si>
  <si>
    <t>Steam</t>
  </si>
  <si>
    <t>Production</t>
  </si>
  <si>
    <t>Per Book</t>
  </si>
  <si>
    <r>
      <t>Ratemaking</t>
    </r>
    <r>
      <rPr>
        <b/>
        <vertAlign val="superscript"/>
        <sz val="12"/>
        <rFont val="Times New Roman"/>
        <family val="1"/>
      </rPr>
      <t xml:space="preserve"> 1</t>
    </r>
  </si>
  <si>
    <t>SDG&amp;E Records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</si>
  <si>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</si>
  <si>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</si>
  <si>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</si>
  <si>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</si>
  <si>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</si>
  <si>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</si>
  <si>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</si>
  <si>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</si>
  <si>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</si>
  <si>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Total 13 Months</t>
  </si>
  <si>
    <t>13-Month Average Balance</t>
  </si>
  <si>
    <t>This column represents the monthly ratemaking plant balances for the base &amp; true-up periods. These plant balances reflect the amounts shifted between functions (Transmission to</t>
  </si>
  <si>
    <t>Distribution, Transmission to Generation, Distribution to Transmission, etc.) as required by FERC Order 888: Seven-Element Adjustment Factor.</t>
  </si>
  <si>
    <t>NUCLEAR PRODUCTION</t>
  </si>
  <si>
    <t>Nuclear</t>
  </si>
  <si>
    <t>HYDRAULIC PRODUCTION PLANT</t>
  </si>
  <si>
    <t>Hydraulic</t>
  </si>
  <si>
    <t>OTHER PRODUCTION</t>
  </si>
  <si>
    <t>Other</t>
  </si>
  <si>
    <t>DISTRIBUTION PLANT</t>
  </si>
  <si>
    <t>Distribution</t>
  </si>
  <si>
    <t>Plant</t>
  </si>
  <si>
    <t>Beginning and End Period Average</t>
  </si>
  <si>
    <t>TRANSMISSION PLANT</t>
  </si>
  <si>
    <t>Transmission</t>
  </si>
  <si>
    <r>
      <t xml:space="preserve">Add: Citizens Weighted Average Lease Amount </t>
    </r>
    <r>
      <rPr>
        <b/>
        <vertAlign val="superscript"/>
        <sz val="12"/>
        <rFont val="Times New Roman"/>
        <family val="1"/>
      </rPr>
      <t>2</t>
    </r>
  </si>
  <si>
    <t>Total Transmission Plant Cost Average Balance</t>
  </si>
  <si>
    <t>Represents the lease amount for the term of service that is added to the 13-Month Average Balance for Transmission ratemaking.</t>
  </si>
  <si>
    <r>
      <t xml:space="preserve">Ratemaking </t>
    </r>
    <r>
      <rPr>
        <b/>
        <vertAlign val="superscript"/>
        <sz val="12"/>
        <rFont val="Times New Roman"/>
        <family val="1"/>
      </rPr>
      <t>1</t>
    </r>
  </si>
  <si>
    <t>Represents the monthly Citizens Lease amount for term of service.</t>
  </si>
  <si>
    <t>TRANSMISSION FUNCTIONALIZATION STUDY</t>
  </si>
  <si>
    <t>DERIVATION OF TRANSMISSION RELATED PLANT DOLLARS</t>
  </si>
  <si>
    <t>(1)</t>
  </si>
  <si>
    <t>(2)</t>
  </si>
  <si>
    <t>(3)</t>
  </si>
  <si>
    <t>(4)</t>
  </si>
  <si>
    <t>(5)</t>
  </si>
  <si>
    <t>(6)</t>
  </si>
  <si>
    <t>(7)</t>
  </si>
  <si>
    <t>(8)</t>
  </si>
  <si>
    <t>Generation</t>
  </si>
  <si>
    <t>Account 101</t>
  </si>
  <si>
    <t>Plant Reclass</t>
  </si>
  <si>
    <t>Adjusted Book</t>
  </si>
  <si>
    <t>Account</t>
  </si>
  <si>
    <t>Description</t>
  </si>
  <si>
    <t>as Transmission</t>
  </si>
  <si>
    <t>to Transmission</t>
  </si>
  <si>
    <t>Steam Prod.</t>
  </si>
  <si>
    <t>Other Prod.</t>
  </si>
  <si>
    <t>as Distribution</t>
  </si>
  <si>
    <t>SUM 1:7</t>
  </si>
  <si>
    <t>Production Related to Trans</t>
  </si>
  <si>
    <t>Intangibles</t>
  </si>
  <si>
    <t>Land</t>
  </si>
  <si>
    <t>Land &amp; Land Rights</t>
  </si>
  <si>
    <t>Structures &amp; Improvements</t>
  </si>
  <si>
    <t>TOTAL</t>
  </si>
  <si>
    <t>TRANSMISSION RELATED</t>
  </si>
  <si>
    <t>Station Equipment</t>
  </si>
  <si>
    <t>Towers and Fixtures</t>
  </si>
  <si>
    <t>Poles and Fixtures</t>
  </si>
  <si>
    <t>OH Conductors and Device</t>
  </si>
  <si>
    <t>Underground Conduit</t>
  </si>
  <si>
    <t>UG Conductors &amp; Devices</t>
  </si>
  <si>
    <t>Roads &amp; Trails</t>
  </si>
  <si>
    <t>GRAND TOTAL RECLASS TRANS PLANT</t>
  </si>
  <si>
    <t>These represent plant transfers to comply with FERC Order No. 888 and reflect the adjusted Transmission plant balances.</t>
  </si>
  <si>
    <t>INCENTIVE TRANSMISSION PLANT</t>
  </si>
  <si>
    <t>Incentive</t>
  </si>
  <si>
    <t xml:space="preserve">Transmission </t>
  </si>
  <si>
    <t>Ratemaking</t>
  </si>
  <si>
    <t>ELECTRIC MISCELLANEOUS INTANGIBLE PLANT</t>
  </si>
  <si>
    <t>Adjusted FERC</t>
  </si>
  <si>
    <t>Intangible Plant</t>
  </si>
  <si>
    <t>GENERAL PLANT</t>
  </si>
  <si>
    <t>General Plant</t>
  </si>
  <si>
    <t>COMMON PLANT</t>
  </si>
  <si>
    <t>Total Common Plant Per Book</t>
  </si>
  <si>
    <t>Electric Split of Common Utility Plant</t>
  </si>
  <si>
    <t>Total Common Plant to Electric Per Book</t>
  </si>
  <si>
    <t>Statement AE</t>
  </si>
  <si>
    <t>Accumulated Depreciation and Amortization</t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</si>
  <si>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</si>
  <si>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2, 4</t>
    </r>
  </si>
  <si>
    <t>Transmission Related Electric Misc. Intangible Plant Amortization Reserve</t>
  </si>
  <si>
    <t>Transmission Related General Plant Depreciation Reserve</t>
  </si>
  <si>
    <t>Transmission Related Common Plant Depreciation Reserve</t>
  </si>
  <si>
    <t xml:space="preserve">     Total Transmission Related Depreciation Reserve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</si>
  <si>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</si>
  <si>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t>Shall be Zero</t>
  </si>
  <si>
    <t>The depreciation reserve for Transmission and Incentive Transmission plant is derived based on a 13-month average balance.</t>
  </si>
  <si>
    <t>The depreciation reserve for Electric Miscellaneous Intangible, General and Common plant is derived based on a simple average of beginning and end of year balances.</t>
  </si>
  <si>
    <t>The amounts stated above are ratemaking utility plant in service and a result of implementing the "Seven-Element Adjustment Factor" which reflects transfers between core electric functional areas.</t>
  </si>
  <si>
    <t>STATEMENT AE</t>
  </si>
  <si>
    <t>ACCUMULATED DEPRECIATION AND AMORTIZATION</t>
  </si>
  <si>
    <t>Reserves</t>
  </si>
  <si>
    <t>Add: Citizens Weighted Average Accumulated Depreciation</t>
  </si>
  <si>
    <t>Total Transmission Plant Accumulated Depreciation Average Balance</t>
  </si>
  <si>
    <t>This column represents the monthly ratemaking depreciation reserve balances for the base &amp; true-up periods. These depreciation reserve balances reflect the amounts shifted between</t>
  </si>
  <si>
    <t>functions (Transmission to Distribution, Transmission to Generation, Distribution to Transmission, etc.) as required by FERC Order 888: Seven-Element Adjustment Factor.</t>
  </si>
  <si>
    <t>Represents the monthly accumulated depreciation and amortization on the Citizens Lease amount for term of service.</t>
  </si>
  <si>
    <t xml:space="preserve">DERIVATION OF TRANSMISSION RELATED </t>
  </si>
  <si>
    <t>Account 108</t>
  </si>
  <si>
    <t>Reserves Reclass</t>
  </si>
  <si>
    <t>as Steam Prod.</t>
  </si>
  <si>
    <t>as Other Prod.</t>
  </si>
  <si>
    <t>as Nuclear</t>
  </si>
  <si>
    <t>These represent plant transfers to comply with FERC Order No. 888 and reflect the adjusted plant accumulated depreciation and amortization balances.</t>
  </si>
  <si>
    <t>Intangible Reserve</t>
  </si>
  <si>
    <t>General Reserve</t>
  </si>
  <si>
    <t>Total Common Reserves to Electric Per Book</t>
  </si>
  <si>
    <t>Deferred Credits</t>
  </si>
  <si>
    <t>FERC Account 190</t>
  </si>
  <si>
    <t>FERC Account 282</t>
  </si>
  <si>
    <t>FERC Account 283</t>
  </si>
  <si>
    <r>
      <t xml:space="preserve">     Total Transmission Related ADIT </t>
    </r>
    <r>
      <rPr>
        <vertAlign val="superscript"/>
        <sz val="12"/>
        <rFont val="Times New Roman"/>
        <family val="1"/>
      </rPr>
      <t>2</t>
    </r>
  </si>
  <si>
    <t>Incentive Transmission Plant ADIT</t>
  </si>
  <si>
    <t>Transmission Plant Abandoned ADIT</t>
  </si>
  <si>
    <t>Incentive Transmission Plant Abandoned Project Cost ADIT</t>
  </si>
  <si>
    <t>Statement AF is utilized in the derivation of Transmission Rate Base for use in Statement AV.</t>
  </si>
  <si>
    <t xml:space="preserve">STATEMENT AF </t>
  </si>
  <si>
    <t>ACCUMULATED DEFERRED INCOME TAXES - ELECTRIC TRANSMISSION</t>
  </si>
  <si>
    <t>(c)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</si>
  <si>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</si>
  <si>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</si>
  <si>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</si>
  <si>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</si>
  <si>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</si>
  <si>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</si>
  <si>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Account 190 (Non-Citizens)</t>
  </si>
  <si>
    <t xml:space="preserve">   Compensation Related Items</t>
  </si>
  <si>
    <t xml:space="preserve">   Post Retirement Benefits</t>
  </si>
  <si>
    <t xml:space="preserve">   Net Operating Loss</t>
  </si>
  <si>
    <t xml:space="preserve">     Total of Account 190</t>
  </si>
  <si>
    <t>Account 282 (Non-Citizens)</t>
  </si>
  <si>
    <t xml:space="preserve">   Accumulated Depreciation Timing Differences</t>
  </si>
  <si>
    <t xml:space="preserve">     Total of Account 282</t>
  </si>
  <si>
    <t>Account 283 (Non-Citizens)</t>
  </si>
  <si>
    <t xml:space="preserve">   Ad Valorem Taxes</t>
  </si>
  <si>
    <t xml:space="preserve">     Total of Account 283</t>
  </si>
  <si>
    <t>Accumulated Deferred Income Tax Comparison With and Without Bonus Depreciation</t>
  </si>
  <si>
    <t>ADIT</t>
  </si>
  <si>
    <t>Average</t>
  </si>
  <si>
    <t>Citizens With Bonus D</t>
  </si>
  <si>
    <t xml:space="preserve"> SDG&amp;E Records</t>
  </si>
  <si>
    <t>Citizens Without Bonus D</t>
  </si>
  <si>
    <r>
      <t xml:space="preserve">Difference With and Without Bonus Deprec. </t>
    </r>
    <r>
      <rPr>
        <b/>
        <vertAlign val="superscript"/>
        <sz val="12"/>
        <rFont val="Times New Roman"/>
        <family val="1"/>
      </rPr>
      <t>1</t>
    </r>
  </si>
  <si>
    <t>Page AF-3 is utilized in Section 3; Part A - Direct Assignment of ADIT to Citizens.</t>
  </si>
  <si>
    <t>Statement AG</t>
  </si>
  <si>
    <t>Specified Plant Account (Other than Plant in Service) and Deferred Debits</t>
  </si>
  <si>
    <r>
      <t xml:space="preserve">Transmission Plant Held for Future Use </t>
    </r>
    <r>
      <rPr>
        <b/>
        <vertAlign val="superscript"/>
        <sz val="12"/>
        <rFont val="Times New Roman"/>
        <family val="1"/>
      </rPr>
      <t>1</t>
    </r>
  </si>
  <si>
    <t>STATEMENT AG</t>
  </si>
  <si>
    <t>SPECIFIED PLANT ACCOUNTS (OTHER THAN PLANT IN SERVICE)</t>
  </si>
  <si>
    <t>AND DEFERRED DEBITS</t>
  </si>
  <si>
    <t>Plant Held for</t>
  </si>
  <si>
    <t>Future Use</t>
  </si>
  <si>
    <t>13-Month Average</t>
  </si>
  <si>
    <t>(c) = (a)+(b)</t>
  </si>
  <si>
    <t>FERC</t>
  </si>
  <si>
    <t>CPUC</t>
  </si>
  <si>
    <t>Total Project</t>
  </si>
  <si>
    <t>Project</t>
  </si>
  <si>
    <t>($)</t>
  </si>
  <si>
    <t>Statement AH</t>
  </si>
  <si>
    <t>Operation and Maintenance Expenses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</si>
  <si>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</si>
  <si>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</si>
  <si>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</si>
  <si>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</si>
  <si>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Adjustments to Per Book Transmission O&amp;M Expense: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</si>
  <si>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</si>
  <si>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</si>
  <si>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</si>
  <si>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Overhead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</si>
  <si>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</si>
  <si>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</si>
  <si>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</si>
  <si>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</si>
  <si>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</si>
  <si>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</si>
  <si>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</si>
  <si>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</si>
  <si>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</si>
  <si>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</si>
  <si>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</si>
  <si>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</si>
  <si>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</si>
  <si>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CPUC reimbursement fees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</si>
  <si>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</si>
  <si>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</si>
  <si>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</si>
  <si>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</si>
  <si>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</si>
  <si>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  Total Adjusted Non-Direct A&amp;G Expenses Including Property Insurance</t>
  </si>
  <si>
    <t>Less: Property Insurance (Due to different allocation factor)</t>
  </si>
  <si>
    <t>Total Adjusted Non-Direct A&amp;G Expenses Excluding Property Insurance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</si>
  <si>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</si>
  <si>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</si>
  <si>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</si>
  <si>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</si>
  <si>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</si>
  <si>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</si>
  <si>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</si>
  <si>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</si>
  <si>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</si>
  <si>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</si>
  <si>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</si>
  <si>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</si>
  <si>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</si>
  <si>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</si>
  <si>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Natural</t>
  </si>
  <si>
    <t>SALARIES-MANAGEMENT  STRAIGHT-TIME</t>
  </si>
  <si>
    <t>SALARIES-MANAGEMENT  TIME AND ONE HALF</t>
  </si>
  <si>
    <t>SALARIES-CLERICAL AND TECHNICAL  STRAIGH</t>
  </si>
  <si>
    <t>SALARIES-CLERICAL AND TECHNICAL  TIME AN</t>
  </si>
  <si>
    <t>SALARIES-CLERICAL AND TECHNICAL  DOUBLE</t>
  </si>
  <si>
    <t>SALARIES-UNION  STRAIGHT-TIME</t>
  </si>
  <si>
    <t>SALARIES-UNION  TIME AND ONE HALF</t>
  </si>
  <si>
    <t>SALARIES-UNION  DOUBLE TIME</t>
  </si>
  <si>
    <t>SALARIES-DELAYED LUNCH PREMIUM</t>
  </si>
  <si>
    <t>EMP TRAVEL-HOTEL/LODG (ROOM AND TAX ONLY</t>
  </si>
  <si>
    <t>SRV-CONTRACTORS-TIME &amp; EQUIPMENT</t>
  </si>
  <si>
    <t>SRV-TREE TRIMMING</t>
  </si>
  <si>
    <t>SRV-CONSULTING-OTHER</t>
  </si>
  <si>
    <t>SRV-VEHICLE &amp; EQUIP RENTAL W/OPERATOR</t>
  </si>
  <si>
    <t>SRV-CONSTRUCTION-ELECTRIC</t>
  </si>
  <si>
    <t>HELICOPTER UTILIZATION</t>
  </si>
  <si>
    <t>VEHICLE UTILIZATION-LABOR</t>
  </si>
  <si>
    <t>VEHICLE UTILIZATION-NONLABOR</t>
  </si>
  <si>
    <t>Cash Discounts on Purchases</t>
  </si>
  <si>
    <t>Vacation &amp; Sick (Costing sheet)</t>
  </si>
  <si>
    <t>ICP (Costing Sheet)</t>
  </si>
  <si>
    <t>Public Liab.&amp; Property Damage-Lab(CS)</t>
  </si>
  <si>
    <t>Worker's Comp -Labor (Costing sheet)</t>
  </si>
  <si>
    <t>Pension &amp; Benefits - Labor</t>
  </si>
  <si>
    <t>Payroll Taxes (Costing sheet)</t>
  </si>
  <si>
    <t>Public Liab.&amp; Property Damage-NonLab(CS)</t>
  </si>
  <si>
    <t>Worker's Comp -Non Labor (Costing sheet)</t>
  </si>
  <si>
    <t>Pension &amp; Benefit - NonLabor</t>
  </si>
  <si>
    <t>PENSION &amp; BENEFIT - REFUNDABLE - NL</t>
  </si>
  <si>
    <t>VACATION &amp; SICK (CL)</t>
  </si>
  <si>
    <t>ICP (CL)</t>
  </si>
  <si>
    <t>PUBLIAB PROPDAM L(CL)</t>
  </si>
  <si>
    <t>WK COMP-LABOR (CL)</t>
  </si>
  <si>
    <t>PENSION &amp; BENEFIT-NONREF-LBR (CL)</t>
  </si>
  <si>
    <t>PAYROLL TAXES (CL)</t>
  </si>
  <si>
    <t>PUBLIAB PROPDAM NL(CL)</t>
  </si>
  <si>
    <t>WK COMP-NONLABOR (CL)</t>
  </si>
  <si>
    <t>PENSION &amp; BENEFIT-NONREF-NL (CL)</t>
  </si>
  <si>
    <t>PENSION &amp; BENEFIT-REF-NL (CL)</t>
  </si>
  <si>
    <t>Purchasing Labor (Costing sheet)</t>
  </si>
  <si>
    <t>Shop Order Labor (Costing sheet)</t>
  </si>
  <si>
    <t>Small Tools Labor (Costing sheet)</t>
  </si>
  <si>
    <t>Union Contract Labor (CS)</t>
  </si>
  <si>
    <t>Purchasing NonLabor (Costing sheet)</t>
  </si>
  <si>
    <t>Shop Order NonLabor (Costing sheet)</t>
  </si>
  <si>
    <t>Small Tools NonLabor (Costing sheet)</t>
  </si>
  <si>
    <r>
      <t xml:space="preserve">     Total Direct Maintenance Cost </t>
    </r>
    <r>
      <rPr>
        <b/>
        <vertAlign val="superscript"/>
        <sz val="12"/>
        <rFont val="Times New Roman"/>
        <family val="1"/>
      </rPr>
      <t>1, 2</t>
    </r>
  </si>
  <si>
    <t>Reflects direct maintenance expenses incurred on the 11.5-mile SX-PQ Underground Line Segment,</t>
  </si>
  <si>
    <t>which are tracked via a specific work order.</t>
  </si>
  <si>
    <t>Electric Transmission O&amp;M Expenses</t>
  </si>
  <si>
    <t>Excluded</t>
  </si>
  <si>
    <t>Acct</t>
  </si>
  <si>
    <t>Per Books</t>
  </si>
  <si>
    <t>Expenses</t>
  </si>
  <si>
    <t>Adjusted</t>
  </si>
  <si>
    <t>Electric Transmission Operation</t>
  </si>
  <si>
    <t>Operation Supervision and Engineering</t>
  </si>
  <si>
    <t>Load Dispatch - Reliability</t>
  </si>
  <si>
    <t>Load Dispatch - Monitor and Operate Transmission System</t>
  </si>
  <si>
    <t>Load Dispatch - Transmission Service and Scheduling</t>
  </si>
  <si>
    <t xml:space="preserve">Scheduling, System Control and Dispatch Services </t>
  </si>
  <si>
    <t>Reliability, Planning and Standards Development</t>
  </si>
  <si>
    <t>Transmission Service Studies</t>
  </si>
  <si>
    <t>Generation Interconnection Studies</t>
  </si>
  <si>
    <t xml:space="preserve">Reliability, Planning and Standards Development Services </t>
  </si>
  <si>
    <r>
      <t xml:space="preserve">Station Expenses </t>
    </r>
    <r>
      <rPr>
        <b/>
        <vertAlign val="superscript"/>
        <sz val="12"/>
        <rFont val="Times New Roman"/>
        <family val="1"/>
      </rPr>
      <t>1</t>
    </r>
  </si>
  <si>
    <t>Underground Line Expenses</t>
  </si>
  <si>
    <t>Transmission of Electricity by Others</t>
  </si>
  <si>
    <t>Misc. Transmission Expenses</t>
  </si>
  <si>
    <t>Rents</t>
  </si>
  <si>
    <t xml:space="preserve">     Total Electric Transmission Operation </t>
  </si>
  <si>
    <t>Electric Transmission Maintenance</t>
  </si>
  <si>
    <t>Maintenance Supervision and Engineering</t>
  </si>
  <si>
    <t>Maintenance of Structures</t>
  </si>
  <si>
    <t>Maintenance of Computer Hardware</t>
  </si>
  <si>
    <t>Maintenance of Computer Software</t>
  </si>
  <si>
    <t>Maintenance of Communication Equipment</t>
  </si>
  <si>
    <t>Maintenance of Misc. Regional Transmission Plant</t>
  </si>
  <si>
    <r>
      <t xml:space="preserve">Maintenance of Underground Lines </t>
    </r>
    <r>
      <rPr>
        <b/>
        <vertAlign val="superscript"/>
        <sz val="12"/>
        <rFont val="Times New Roman"/>
        <family val="1"/>
      </rPr>
      <t>2</t>
    </r>
  </si>
  <si>
    <t>Maintenance of Misc. Transmission Plant</t>
  </si>
  <si>
    <t xml:space="preserve">  Total Electric Transmission Maintenance</t>
  </si>
  <si>
    <t>Total Electric Transmission O&amp;M Expenses</t>
  </si>
  <si>
    <r>
      <t xml:space="preserve">Transmission O&amp;M Expenses Charged to Citizens </t>
    </r>
    <r>
      <rPr>
        <b/>
        <vertAlign val="superscript"/>
        <sz val="12"/>
        <rFont val="Times New Roman"/>
        <family val="1"/>
      </rPr>
      <t>3</t>
    </r>
  </si>
  <si>
    <t>Total Adjusted Electric Transmission O&amp;M Expenses</t>
  </si>
  <si>
    <t>Excluded Expenses (recovery method in parentheses)</t>
  </si>
  <si>
    <t>560</t>
  </si>
  <si>
    <t>Executive ICP</t>
  </si>
  <si>
    <t>Scheduling, System Control and Dispatch Services (ERRA)</t>
  </si>
  <si>
    <t>Reliability, Planning and Standards Development Services (ERRA)</t>
  </si>
  <si>
    <t>Transmission of Electricity by Others (ERRA)</t>
  </si>
  <si>
    <t>Misc. Transmission Expenses:</t>
  </si>
  <si>
    <t xml:space="preserve">     Century Energy Systems Balancing Account (CES-21BA)</t>
  </si>
  <si>
    <t xml:space="preserve">     Hazardous Substance Cleanup Cost Memo Account (HSCCMA)</t>
  </si>
  <si>
    <t xml:space="preserve">     ISO Grid Management Costs (ERRA)</t>
  </si>
  <si>
    <t xml:space="preserve">     Reliability Services (RS rates)</t>
  </si>
  <si>
    <t xml:space="preserve">     Other (TRBAA, TACBAA) </t>
  </si>
  <si>
    <r>
      <t xml:space="preserve">Maintenance of Station Equipment </t>
    </r>
    <r>
      <rPr>
        <b/>
        <vertAlign val="superscript"/>
        <sz val="12"/>
        <rFont val="Times New Roman"/>
        <family val="1"/>
      </rPr>
      <t>1</t>
    </r>
  </si>
  <si>
    <r>
      <t xml:space="preserve">Maintenance of Overhead Lines </t>
    </r>
    <r>
      <rPr>
        <b/>
        <vertAlign val="superscript"/>
        <sz val="12"/>
        <rFont val="Times New Roman"/>
        <family val="1"/>
      </rPr>
      <t>1</t>
    </r>
  </si>
  <si>
    <t>Total Excluded Expenses</t>
  </si>
  <si>
    <t>Citizens O&amp;M should not include substation, underground, and overhead line maintenance per the Appendix XII Tariff (See Section I.C - number 31).</t>
  </si>
  <si>
    <t>As a result, such items are excluded in Column b.</t>
  </si>
  <si>
    <t xml:space="preserve">Account 572 for Underground Line Maintenance is excluded because Citizens is charged via a Direct Maintenance order, which is reflected on AH-1. </t>
  </si>
  <si>
    <t>Transmission O&amp;M Expenses in SAP Account 7000721, which was created to track Citizens SX-PQ O&amp;M Expense.</t>
  </si>
  <si>
    <t>Administrative &amp; General Expenses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</si>
  <si>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</si>
  <si>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</si>
  <si>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</si>
  <si>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</si>
  <si>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</si>
  <si>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</si>
  <si>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</si>
  <si>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</si>
  <si>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</si>
  <si>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</si>
  <si>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</si>
  <si>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</si>
  <si>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</si>
  <si>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</si>
  <si>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</si>
  <si>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</si>
  <si>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</si>
  <si>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</si>
  <si>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CPUC Intervenor Funding Expense - Transmission</t>
  </si>
  <si>
    <t>CPUC Intervenor Funding Expense - Distribution</t>
  </si>
  <si>
    <t>Abandoned Projects</t>
  </si>
  <si>
    <t xml:space="preserve">Hazardous Substances-Hazardous Substance Cleanup Cost Account </t>
  </si>
  <si>
    <t>Account 7000722, which was created to track Citizens SX-PQ A&amp;G Expense.</t>
  </si>
  <si>
    <t>Statement AI</t>
  </si>
  <si>
    <t>Wages and Salaries</t>
  </si>
  <si>
    <t>Production Wages &amp; Salaries (Includes Steam &amp; Other Power Supply)</t>
  </si>
  <si>
    <r>
      <t xml:space="preserve">Transmission Wages &amp; Salaries </t>
    </r>
    <r>
      <rPr>
        <b/>
        <vertAlign val="superscript"/>
        <sz val="12"/>
        <rFont val="Times New Roman"/>
        <family val="1"/>
      </rPr>
      <t>1</t>
    </r>
  </si>
  <si>
    <r>
      <t xml:space="preserve">Transmission Wages &amp; Salaries </t>
    </r>
    <r>
      <rPr>
        <b/>
        <vertAlign val="superscript"/>
        <sz val="12"/>
        <rFont val="Times New Roman"/>
        <family val="1"/>
      </rPr>
      <t>2</t>
    </r>
  </si>
  <si>
    <t>Distribution Wages &amp; Salaries</t>
  </si>
  <si>
    <t>Customer Accounts Wages &amp; Salaries</t>
  </si>
  <si>
    <t>Customer Services and Informational Wages &amp; Salaries</t>
  </si>
  <si>
    <t>Sales Wages &amp; Salaries</t>
  </si>
  <si>
    <t xml:space="preserve">     Total Operating &amp; Maintenance Wages &amp; Salaries Excl. A&amp;G</t>
  </si>
  <si>
    <t>Excludes FERC Accounts 562, 563, 570, 571, and 572 associated with substation, underground, and overhead wages &amp; salaries not applicable to Citizens.</t>
  </si>
  <si>
    <t>Reflects FERC Accounts 562, 563, 570, 571, and 572 associated with substation, underground, and overhead wages &amp; salaries not applicable to Citizens.</t>
  </si>
  <si>
    <t>Statement AI - Workpapers</t>
  </si>
  <si>
    <t>Transmission Wages &amp; Salaries</t>
  </si>
  <si>
    <t xml:space="preserve">FERC 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</si>
  <si>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</si>
  <si>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r>
      <t xml:space="preserve">Exclusions </t>
    </r>
    <r>
      <rPr>
        <b/>
        <vertAlign val="superscript"/>
        <sz val="12"/>
        <color theme="1"/>
        <rFont val="Times New Roman"/>
        <family val="1"/>
      </rPr>
      <t>2</t>
    </r>
  </si>
  <si>
    <t>560100E</t>
  </si>
  <si>
    <t>OPERATION SUPERVISION</t>
  </si>
  <si>
    <t>560170E</t>
  </si>
  <si>
    <t>OPERATION EXECUTIVE COMPENSATION</t>
  </si>
  <si>
    <t>560200E</t>
  </si>
  <si>
    <t>OPERATION ENGINEERING</t>
  </si>
  <si>
    <t>561100E</t>
  </si>
  <si>
    <t>LOAD DISPATCHING - RELIABILITY</t>
  </si>
  <si>
    <t>561200E</t>
  </si>
  <si>
    <t>LOAD DISPATCHING - MONITOR &amp; OPERATE SYSTEM</t>
  </si>
  <si>
    <t>561300E</t>
  </si>
  <si>
    <t>LOAD DISPATCHING-TRANSMISSION SERVICE &amp; SCHEDULING</t>
  </si>
  <si>
    <t>561400E</t>
  </si>
  <si>
    <t>SCHEDULING SYSTEM CONTROL &amp; DISPATCH SERVICES</t>
  </si>
  <si>
    <t>561500E</t>
  </si>
  <si>
    <t>RELIABILITY, PLANNING &amp; STANDARDS DEVELOPMENT</t>
  </si>
  <si>
    <t>561600E</t>
  </si>
  <si>
    <t>TRANSMISSION SERVICE STUDIES</t>
  </si>
  <si>
    <t>561700E</t>
  </si>
  <si>
    <t>GENERATION INTERCONNECTION STUDIES</t>
  </si>
  <si>
    <t>561800E</t>
  </si>
  <si>
    <t>RELIABILITY, PLANNING &amp; STANDARDS DEVELOPMENT SERVICES</t>
  </si>
  <si>
    <t>562000E</t>
  </si>
  <si>
    <t>STATION EXPENSES</t>
  </si>
  <si>
    <t>562100E</t>
  </si>
  <si>
    <t>STATION OPERATION EXPENSE</t>
  </si>
  <si>
    <t>563000E</t>
  </si>
  <si>
    <t>OVERHEAD LINE EXPENSES</t>
  </si>
  <si>
    <t>563100E</t>
  </si>
  <si>
    <t>OPERATION OVERHEAD LINES</t>
  </si>
  <si>
    <t>563200E</t>
  </si>
  <si>
    <t>ENCROACHMENTS OVERHEAD R/W</t>
  </si>
  <si>
    <t>564000E</t>
  </si>
  <si>
    <t>UNDERGROUND LINE EXPENSES</t>
  </si>
  <si>
    <t>566000E</t>
  </si>
  <si>
    <t>MISCELLANEOUS TRANSMISSION EXPENSES</t>
  </si>
  <si>
    <t>566ABPE</t>
  </si>
  <si>
    <t>MISCELLANEOUS TRANSMISSION ABANDONED PROJECTS</t>
  </si>
  <si>
    <t>567000E</t>
  </si>
  <si>
    <t>RENTS</t>
  </si>
  <si>
    <t>568100E</t>
  </si>
  <si>
    <t>MAINTENANCE SUPERVISION</t>
  </si>
  <si>
    <t>568200E</t>
  </si>
  <si>
    <t>MAINTENANCE ENGINEERING</t>
  </si>
  <si>
    <t>569000E</t>
  </si>
  <si>
    <t>MAINTENANCE OF STRUCTURES</t>
  </si>
  <si>
    <t>569100E</t>
  </si>
  <si>
    <t>MAINTENANCE OF COMPUTER HARDWARE</t>
  </si>
  <si>
    <t>569200E</t>
  </si>
  <si>
    <t>MAINTENANCE OF COMPUTER SOFTWARE</t>
  </si>
  <si>
    <t>569300E</t>
  </si>
  <si>
    <t>MAINTENANCE OF COMPUTER EQUIPMENT</t>
  </si>
  <si>
    <t>569400E</t>
  </si>
  <si>
    <t>MAINTENANCE OF MISC REGIONAL TRANSMISSION PLANT</t>
  </si>
  <si>
    <t>570000E</t>
  </si>
  <si>
    <t>MAINTENANCE OF STATION EQUIPMENT</t>
  </si>
  <si>
    <t>570100E</t>
  </si>
  <si>
    <t>MAINTENANCE OF  STATION EQUIPMENT GENERAL</t>
  </si>
  <si>
    <t>570121E</t>
  </si>
  <si>
    <t>RTU SUPERVISORY EQUIPMENT</t>
  </si>
  <si>
    <t>570122E</t>
  </si>
  <si>
    <t>TELEMETER SYSTEM MAINTENANCE</t>
  </si>
  <si>
    <t>570200E</t>
  </si>
  <si>
    <t>MAINTENANCE STATION EQUIPMENT CLEAN TREAT</t>
  </si>
  <si>
    <t>570600E</t>
  </si>
  <si>
    <t>MAINTENANCE STATION EQUIPMENT</t>
  </si>
  <si>
    <t>570700E</t>
  </si>
  <si>
    <t>SAN ONOFRE SUBSTATION</t>
  </si>
  <si>
    <t>571000E</t>
  </si>
  <si>
    <t>MAINTENANCE OF OVERHEAD LINES</t>
  </si>
  <si>
    <t>571100E</t>
  </si>
  <si>
    <t>MAINTENANCE OF OVERHEAD LINES GENERAL</t>
  </si>
  <si>
    <t>571120E</t>
  </si>
  <si>
    <t>TRAINING IN HOTSTICK MAINTENANCE</t>
  </si>
  <si>
    <t>571200E</t>
  </si>
  <si>
    <t>MAINTENANCE OF OVERHEAD LINES - TREE TRIMMING</t>
  </si>
  <si>
    <t>571310E</t>
  </si>
  <si>
    <t>MAINTENANCE OF OVERHEAD INSULATOR WASHING</t>
  </si>
  <si>
    <t>571700E</t>
  </si>
  <si>
    <t>ACCESS &amp; PATROL ROAD MAINTENANCE</t>
  </si>
  <si>
    <t>571800E</t>
  </si>
  <si>
    <t>CONSTRUCTION RELATED EXPENSES</t>
  </si>
  <si>
    <t>571930E</t>
  </si>
  <si>
    <t>OH PREV MAINT - INSPECTIONS</t>
  </si>
  <si>
    <t>571960E</t>
  </si>
  <si>
    <t>OH PREV MAINT - FOLLOW-UP</t>
  </si>
  <si>
    <t>572000E</t>
  </si>
  <si>
    <t>MAINTENANCE OF UNDERGROUND LINES</t>
  </si>
  <si>
    <t>573000E</t>
  </si>
  <si>
    <t>MAINTENANCE OF MISCELLANEOUS TRANSMISSION</t>
  </si>
  <si>
    <t>Total Transmission Wages &amp; Salaries</t>
  </si>
  <si>
    <t>Total Adjusted Citizens Transmission Wages &amp; Salaries</t>
  </si>
  <si>
    <t>Ties to FERC Form 1; Page 354; Line 21; Col. b.</t>
  </si>
  <si>
    <t>Citizens should exclude expenses associated with substation, overhead, and underground maintenance.</t>
  </si>
  <si>
    <t>Statement AJ</t>
  </si>
  <si>
    <t>Depreciation and Amortization Expense</t>
  </si>
  <si>
    <t>Transmission Plant Depreciation Expense</t>
  </si>
  <si>
    <t>Electric Miscellaneous Intangible Plant Amortization Expense</t>
  </si>
  <si>
    <t xml:space="preserve">Common Plant Depreciation Expense </t>
  </si>
  <si>
    <t>Transmission Related Electric Misc. Intangible Plant Amortization Expense</t>
  </si>
  <si>
    <t>Transmission Related General Plant Depreciation Expense</t>
  </si>
  <si>
    <t>Transmission Related Common Plant Depreciation Expense</t>
  </si>
  <si>
    <t xml:space="preserve">     Total Transmission, General, Common, and Electric Misc. Intangible Exp.</t>
  </si>
  <si>
    <t>Incentive Transmission Plant Depreciation Expense</t>
  </si>
  <si>
    <t>Transmission Plant Abandoned Project Cost Amortization Expense</t>
  </si>
  <si>
    <t>Net of Incentive Transmission Plant Depreciation Expense.</t>
  </si>
  <si>
    <t>STATEMENT AJ</t>
  </si>
  <si>
    <t>DEPRECIATION AND AMORTIZATION EXPENSE</t>
  </si>
  <si>
    <t>General</t>
  </si>
  <si>
    <t>Expense</t>
  </si>
  <si>
    <t>Total Common Expense to Electric Per Book</t>
  </si>
  <si>
    <t>Statement AK</t>
  </si>
  <si>
    <t>Taxes Other Than Income Taxes</t>
  </si>
  <si>
    <r>
      <t xml:space="preserve">Total Property Taxes </t>
    </r>
    <r>
      <rPr>
        <b/>
        <vertAlign val="superscript"/>
        <sz val="12"/>
        <rFont val="Times New Roman"/>
        <family val="1"/>
      </rPr>
      <t>1</t>
    </r>
  </si>
  <si>
    <r>
      <t xml:space="preserve">Less: Other Taxes (Business license taxes) </t>
    </r>
    <r>
      <rPr>
        <b/>
        <vertAlign val="superscript"/>
        <sz val="12"/>
        <rFont val="Times New Roman"/>
        <family val="1"/>
      </rPr>
      <t>2</t>
    </r>
  </si>
  <si>
    <t>Net Property Taxes Excl. Citizens</t>
  </si>
  <si>
    <t>Add: Citizens Allocated Portion of Property Taxes</t>
  </si>
  <si>
    <t>Net Property Taxes Incl. Citizens</t>
  </si>
  <si>
    <r>
      <t xml:space="preserve">Less: SONGS Property Taxes </t>
    </r>
    <r>
      <rPr>
        <b/>
        <vertAlign val="superscript"/>
        <sz val="12"/>
        <rFont val="Times New Roman"/>
        <family val="1"/>
      </rPr>
      <t>3</t>
    </r>
  </si>
  <si>
    <t>Total Property Taxes Expense</t>
  </si>
  <si>
    <t>Transmission Property Insurance and Tax Allocation Factor</t>
  </si>
  <si>
    <t xml:space="preserve">     Transmission Related Property Taxes Expense</t>
  </si>
  <si>
    <r>
      <t xml:space="preserve">Total Payroll Taxes Expense </t>
    </r>
    <r>
      <rPr>
        <b/>
        <vertAlign val="superscript"/>
        <sz val="12"/>
        <rFont val="Times New Roman"/>
        <family val="1"/>
      </rPr>
      <t>4</t>
    </r>
  </si>
  <si>
    <t>Add: Citizens Allocated Portion of Payroll Taxes</t>
  </si>
  <si>
    <t>Total Payroll Taxes Expense Incl. Citizens</t>
  </si>
  <si>
    <t xml:space="preserve">     Transmission Related Payroll Taxes Expense</t>
  </si>
  <si>
    <t>Statement AL</t>
  </si>
  <si>
    <t>Working Capital</t>
  </si>
  <si>
    <t>Working</t>
  </si>
  <si>
    <t>13-Months</t>
  </si>
  <si>
    <t>Cash</t>
  </si>
  <si>
    <t>Transmission Plant Allocation Factor</t>
  </si>
  <si>
    <t xml:space="preserve">     Transmission Related Materials and Supplies 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</si>
  <si>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</si>
  <si>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</si>
  <si>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</si>
  <si>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</si>
  <si>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  Total</t>
  </si>
  <si>
    <t xml:space="preserve">   One Eighth O&amp;M Rule</t>
  </si>
  <si>
    <t xml:space="preserve">     Transmission Related Cash Working Capital - Retail Customers</t>
  </si>
  <si>
    <t>The balances for Materials &amp; Supplies and Prepayments are derived based on a 13-month average balance.</t>
  </si>
  <si>
    <t>STATEMENT AL</t>
  </si>
  <si>
    <t>WORKING CAPITAL</t>
  </si>
  <si>
    <t>ACCOUNT 154 PLANT MATERIALS AND OPERATING SUPPLIES</t>
  </si>
  <si>
    <t>ELECTRIC ALLOWABLE PER FERC FORMULA</t>
  </si>
  <si>
    <t>Electric Plant</t>
  </si>
  <si>
    <t>Materials</t>
  </si>
  <si>
    <t>&amp; Supplies</t>
  </si>
  <si>
    <t>ACCOUNT 165 PREPAYMENTS  -  ELECTRIC</t>
  </si>
  <si>
    <t>Prepayments</t>
  </si>
  <si>
    <t>Statement AR</t>
  </si>
  <si>
    <t>Federal Tax Adjustments</t>
  </si>
  <si>
    <t>Transmission Related Amortization of Investment Tax Credits</t>
  </si>
  <si>
    <t>Transmission Related Amortization of Excess Deferred Tax Liabilities</t>
  </si>
  <si>
    <t xml:space="preserve">   FERC Account 190</t>
  </si>
  <si>
    <t xml:space="preserve">   FERC Account 282</t>
  </si>
  <si>
    <t xml:space="preserve">   FERC Account 283</t>
  </si>
  <si>
    <t>Total Transmission Related Amortization of Excess Deferred Tax Liabilities</t>
  </si>
  <si>
    <t>Other Federal Tax Adjustments</t>
  </si>
  <si>
    <r>
      <t xml:space="preserve">     Total Federal Tax Adjustments </t>
    </r>
    <r>
      <rPr>
        <b/>
        <vertAlign val="superscript"/>
        <sz val="12"/>
        <rFont val="Times New Roman"/>
        <family val="1"/>
      </rPr>
      <t>1</t>
    </r>
  </si>
  <si>
    <t>STATEMENT AR</t>
  </si>
  <si>
    <t>(c) = [(a) + (b)]</t>
  </si>
  <si>
    <t>Account 190</t>
  </si>
  <si>
    <t>Account 282</t>
  </si>
  <si>
    <t>Account 283</t>
  </si>
  <si>
    <t>This workpaper does not include the amortization of excess ADIT associated with SX-PQ because the original ADIT balance was measured at the 21% tax rate and thus there is no excess ADIT.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</si>
  <si>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</si>
  <si>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</si>
  <si>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</si>
  <si>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</si>
  <si>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</si>
  <si>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</si>
  <si>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</si>
  <si>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</si>
  <si>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</si>
  <si>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</si>
  <si>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</si>
  <si>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</si>
  <si>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</si>
  <si>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</si>
  <si>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</si>
  <si>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</si>
  <si>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</si>
  <si>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</si>
  <si>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</si>
  <si>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</si>
  <si>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</si>
  <si>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</si>
  <si>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</si>
  <si>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</si>
  <si>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</si>
  <si>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</si>
  <si>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</si>
  <si>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</si>
  <si>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</si>
  <si>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</si>
  <si>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</si>
  <si>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</si>
  <si>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</si>
  <si>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</si>
  <si>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</si>
  <si>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</si>
  <si>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</si>
  <si>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</si>
  <si>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</si>
  <si>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</si>
  <si>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</si>
  <si>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</si>
  <si>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</si>
  <si>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</si>
  <si>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</si>
  <si>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</si>
  <si>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</si>
  <si>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</si>
  <si>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</si>
  <si>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</si>
  <si>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</si>
  <si>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</si>
  <si>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</si>
  <si>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</si>
  <si>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</si>
  <si>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</si>
  <si>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</si>
  <si>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</si>
  <si>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</si>
  <si>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</si>
  <si>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</si>
  <si>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</si>
  <si>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</si>
  <si>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</si>
  <si>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</si>
  <si>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</si>
  <si>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</si>
  <si>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</si>
  <si>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</si>
  <si>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</si>
  <si>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$56K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</si>
  <si>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</si>
  <si>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</si>
  <si>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</si>
  <si>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</si>
  <si>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</si>
  <si>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</si>
  <si>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</si>
  <si>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</si>
  <si>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Non-Incentive Equity AFUDC Component of Transmission Depreciation Expense</t>
  </si>
  <si>
    <t xml:space="preserve">Non-Incentive Equity AFUDC </t>
  </si>
  <si>
    <t xml:space="preserve">Component of Transmission </t>
  </si>
  <si>
    <r>
      <t xml:space="preserve">Vintages of Plant </t>
    </r>
    <r>
      <rPr>
        <b/>
        <vertAlign val="superscript"/>
        <sz val="12"/>
        <rFont val="Times New Roman"/>
        <family val="1"/>
      </rPr>
      <t>1</t>
    </r>
  </si>
  <si>
    <t>Depn Exp.</t>
  </si>
  <si>
    <t>Citizens SX-PQ Underground Line Segment Adj. (see w/p AV-2B)</t>
  </si>
  <si>
    <t>AFUDC Equity Depreciation Expense - Net of AFUDC Equity Depreciation Expense on Assets Leased to Citizens SX-PQ</t>
  </si>
  <si>
    <t>Citizens' Calculation of Equity AFUDC Component of Transmission Depreciation Expenses</t>
  </si>
  <si>
    <t>AFUDC embedded in the Lease Payment on the SX-PQ Underground Line Segment</t>
  </si>
  <si>
    <t>AFUDC Equity Percentage as of November 2018</t>
  </si>
  <si>
    <t>Annual Depreciation Rate (30 year Lease)</t>
  </si>
  <si>
    <t>1 / 30 years</t>
  </si>
  <si>
    <t>Annual Book Depreciation on AFUDC Equity</t>
  </si>
  <si>
    <t>Federal and State Combined Tax Rate</t>
  </si>
  <si>
    <t>Tax Cost of Non-Deductibility of AFUDC Equity</t>
  </si>
  <si>
    <t>Gross-up Factor</t>
  </si>
  <si>
    <t>Revenue Requirement</t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</si>
  <si>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</si>
  <si>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</si>
  <si>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</si>
  <si>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</si>
  <si>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</si>
  <si>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</si>
  <si>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</si>
  <si>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</si>
  <si>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</si>
  <si>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</si>
  <si>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</si>
  <si>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</si>
  <si>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</si>
  <si>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</si>
  <si>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</si>
  <si>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</si>
  <si>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</si>
  <si>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</si>
  <si>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</si>
  <si>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</si>
  <si>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</si>
  <si>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</si>
  <si>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</si>
  <si>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</si>
  <si>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</si>
  <si>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</si>
  <si>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</si>
  <si>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</si>
  <si>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</si>
  <si>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</si>
  <si>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</si>
  <si>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</si>
  <si>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</si>
  <si>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</si>
  <si>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</si>
  <si>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</si>
  <si>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</si>
  <si>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</si>
  <si>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</si>
  <si>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</si>
  <si>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</si>
  <si>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</si>
  <si>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 xml:space="preserve">Miscellaneous Statement </t>
  </si>
  <si>
    <t>Transmission Related Regulatory Debits/Credits</t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</si>
  <si>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</si>
  <si>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</si>
  <si>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t>TO Number:</t>
  </si>
  <si>
    <t>Cycle Number:</t>
  </si>
  <si>
    <t>Cycle Ending:</t>
  </si>
  <si>
    <r>
      <t xml:space="preserve">Total Base Period Interest </t>
    </r>
    <r>
      <rPr>
        <b/>
        <vertAlign val="superscript"/>
        <sz val="12"/>
        <rFont val="Times New Roman"/>
        <family val="1"/>
      </rPr>
      <t>4</t>
    </r>
  </si>
  <si>
    <r>
      <t xml:space="preserve">AMORTIZATION OF TRANSMISSION RELATED EXCESS DEFERRED TAX LIABILITIES </t>
    </r>
    <r>
      <rPr>
        <b/>
        <vertAlign val="superscript"/>
        <sz val="12"/>
        <rFont val="Times New Roman"/>
        <family val="1"/>
      </rPr>
      <t>1</t>
    </r>
  </si>
  <si>
    <t>560000E</t>
  </si>
  <si>
    <t>OPERATION SUPERVISION &amp; ENGINEERING</t>
  </si>
  <si>
    <t xml:space="preserve">   Other A&amp;G Exclusion Adjustments</t>
  </si>
  <si>
    <t xml:space="preserve">   Other Transmission Non-Direct O&amp;M Exclusion Adjustments </t>
  </si>
  <si>
    <t xml:space="preserve">(c) = (a) - (b) </t>
  </si>
  <si>
    <t>(c) = (a) - (b)</t>
  </si>
  <si>
    <t>Account 282 (Citizens SX-PQ)</t>
  </si>
  <si>
    <t>Monthly True-Up Cost of Service comprises Sections 1 thru 3 Direct Maintenance, Non-Direct Expense, and Other Specific Expenses Cost Components.</t>
  </si>
  <si>
    <t>Direct Maintenance expenses are utilized and allocated in Section 1 of this Filing.</t>
  </si>
  <si>
    <t>As of July 1, 2018, SDG&amp;E is no longer assessed property taxes on SONGS.</t>
  </si>
  <si>
    <t>AFUDC Equity Embedded in the SX-PQ Underground Line Segment</t>
  </si>
  <si>
    <r>
      <t xml:space="preserve">Statement AF </t>
    </r>
    <r>
      <rPr>
        <b/>
        <vertAlign val="superscript"/>
        <sz val="12"/>
        <rFont val="Times New Roman"/>
        <family val="1"/>
      </rPr>
      <t>1</t>
    </r>
  </si>
  <si>
    <t>Return on Common Equity:</t>
  </si>
  <si>
    <t>Account 190 (Citizens SX-PQ)</t>
  </si>
  <si>
    <t>Account 283 (Citizens SX-PQ)</t>
  </si>
  <si>
    <t>Section 1; Page 1; Line 17</t>
  </si>
  <si>
    <t>Section 2; Page 1; Line 25</t>
  </si>
  <si>
    <t>Section 3; Page 1; Line 31</t>
  </si>
  <si>
    <t>Section 4; Page TU; Col. 11; Line 21</t>
  </si>
  <si>
    <t>Section 5; Page Interest TU (CY); Col. 6; Line 20</t>
  </si>
  <si>
    <r>
      <t xml:space="preserve">Total Steam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</si>
  <si>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Nuclear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</si>
  <si>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Hydraulic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</si>
  <si>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</si>
  <si>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Distribution Plant </t>
    </r>
    <r>
      <rPr>
        <b/>
        <vertAlign val="superscript"/>
        <sz val="12"/>
        <rFont val="Times New Roman"/>
        <family val="1"/>
      </rPr>
      <t>2, 3, 5</t>
    </r>
  </si>
  <si>
    <r>
      <t xml:space="preserve">Overhead Line Expenses </t>
    </r>
    <r>
      <rPr>
        <b/>
        <vertAlign val="superscript"/>
        <sz val="12"/>
        <rFont val="Times New Roman"/>
        <family val="1"/>
      </rPr>
      <t>1</t>
    </r>
  </si>
  <si>
    <t>Litigation expenses - Litigation Cost Memorandum Account (LCMA)</t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</si>
  <si>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</si>
  <si>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</t>
    </r>
  </si>
  <si>
    <t xml:space="preserve">Negative of AH-2; Line 41; Col. b </t>
  </si>
  <si>
    <t xml:space="preserve">General Plant Depreciation Expense </t>
  </si>
  <si>
    <r>
      <t>Incentive Transmission Plant Abandoned Project Cost Amortization Expense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</si>
  <si>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</si>
  <si>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>Energy Efficiency</t>
  </si>
  <si>
    <t>CPUC reimbursement fees</t>
  </si>
  <si>
    <t>204-207; Footnote Data (a)</t>
  </si>
  <si>
    <t>204-207; Footnote Data (a); BOY and EOY</t>
  </si>
  <si>
    <r>
      <t>Total General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</si>
  <si>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>Transmission Plant Allocation Factor</t>
    </r>
    <r>
      <rPr>
        <b/>
        <vertAlign val="superscript"/>
        <sz val="12"/>
        <rFont val="Times New Roman"/>
        <family val="1"/>
      </rPr>
      <t xml:space="preserve">  5</t>
    </r>
  </si>
  <si>
    <t xml:space="preserve">Form 1; Page 204-207; Footnote Data (a); BOY </t>
  </si>
  <si>
    <t xml:space="preserve">Form 1; Page 204-207; Footnote Data (a); EOY </t>
  </si>
  <si>
    <t>Form 1; Page 204-207; Footnote Data (a)</t>
  </si>
  <si>
    <t xml:space="preserve">The allocated general and common accumulated deferred income taxes are included in the total transmission related accumulated deferred income taxes. See FERC Form 1; Page 274-275; </t>
  </si>
  <si>
    <t xml:space="preserve">Footnote Data (a) and (b). </t>
  </si>
  <si>
    <t xml:space="preserve">The balances for Transmission Plant Held for Future Use are derived based on a 13-month average balance. </t>
  </si>
  <si>
    <t>Form 1; Page 320-323; Line 83</t>
  </si>
  <si>
    <t>Form 1; Page 320-323; Line 85</t>
  </si>
  <si>
    <t>Form 1; Page 320-323; Line 86</t>
  </si>
  <si>
    <t>Form 1; Page 320-323; Line 87</t>
  </si>
  <si>
    <t>Form 1; Page 320-323; Line 88</t>
  </si>
  <si>
    <t>Form 1; Page 320-323; Line 89</t>
  </si>
  <si>
    <t>Form 1; Page 320-323; Line 90</t>
  </si>
  <si>
    <t>Form 1; Page 320-323; Line 91</t>
  </si>
  <si>
    <t>Form 1; Page 320-323; Line 92</t>
  </si>
  <si>
    <t>Form 1; Page 320-323; Line 93</t>
  </si>
  <si>
    <t>Form 1; Page 320-323; Line 94</t>
  </si>
  <si>
    <t>Form 1; Page 320-323; Line 95</t>
  </si>
  <si>
    <t>Form 1; Page 320-323; Line 96</t>
  </si>
  <si>
    <t>Form 1; Page 320-323; Line 97</t>
  </si>
  <si>
    <t>Form 1; Page 320-323; Line 98</t>
  </si>
  <si>
    <t>Form 1; Page 320-323; Line 101</t>
  </si>
  <si>
    <t>Form 1; Page 320-323; Line 102</t>
  </si>
  <si>
    <t>Form 1; Page 320-323; Line 103</t>
  </si>
  <si>
    <t>Form 1; Page 320-323; Line 104</t>
  </si>
  <si>
    <t>Form 1; Page 320-323; Line 105</t>
  </si>
  <si>
    <t>Form 1; Page 320-323; Line 106</t>
  </si>
  <si>
    <t>Form 1; Page 320-323; Line 107</t>
  </si>
  <si>
    <t>Form 1; Page 320-323; Line 108</t>
  </si>
  <si>
    <t>Form 1; Page 320-323; Line 109</t>
  </si>
  <si>
    <t>Form 1; Page 320-323; Line 110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</si>
  <si>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</si>
  <si>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</si>
  <si>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</si>
  <si>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</si>
  <si>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</si>
  <si>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</si>
  <si>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</si>
  <si>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</si>
  <si>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</si>
  <si>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</si>
  <si>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</si>
  <si>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</si>
  <si>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</si>
  <si>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</si>
  <si>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354-355; 20; b</t>
  </si>
  <si>
    <t>354-355; 23; b</t>
  </si>
  <si>
    <t>354-355; 24; b</t>
  </si>
  <si>
    <t>354-355; 25; b</t>
  </si>
  <si>
    <t>354-355; 26; b</t>
  </si>
  <si>
    <t>336-337; 1; f</t>
  </si>
  <si>
    <t>336-337; 10; f</t>
  </si>
  <si>
    <t>336-337; 11; f</t>
  </si>
  <si>
    <t>Form 1; Page 336-337; Line 10; Col. f</t>
  </si>
  <si>
    <t>(Line 1 x Line 2); Form 1; Page 336-337; Line 11; Col. f</t>
  </si>
  <si>
    <t>262-263; 12; l</t>
  </si>
  <si>
    <t>262-263; 2,3,4,8; l</t>
  </si>
  <si>
    <t>Business license taxes are no longer recorded in Total Property Taxes and are separately shown in FERC Form 1; Page 262-263; Line 14; Col. l.</t>
  </si>
  <si>
    <t>266-267; Footnote Data (a)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</si>
  <si>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</si>
  <si>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</si>
  <si>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</si>
  <si>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</si>
  <si>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</si>
  <si>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</si>
  <si>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</si>
  <si>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</si>
  <si>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</si>
  <si>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</si>
  <si>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</si>
  <si>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</si>
  <si>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</si>
  <si>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</si>
  <si>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</si>
  <si>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the applicable data field will be filled.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</si>
  <si>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</si>
  <si>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Form 1; Page 356; Accts 303 to 398; BOY</t>
  </si>
  <si>
    <t>Form 1; Page 356; Accts 303 to 398; EOY</t>
  </si>
  <si>
    <t>Form 1; Page 356; Electric</t>
  </si>
  <si>
    <t>Payroll tax expense excludes Citizens payroll taxes as shown in FERC Form 1; Page 262-263; Footnote Data (b).</t>
  </si>
  <si>
    <t>Property tax expense excludes Citizens property taxes as shown in FERC Form 1; Page 262-263; Footnote Data (c).</t>
  </si>
  <si>
    <t>227; Footnote Data (a)</t>
  </si>
  <si>
    <t>110-111; Footnote Data (c)</t>
  </si>
  <si>
    <t>Form 1; Page 227; Footnote Data (a)</t>
  </si>
  <si>
    <t>Form 1; Page 110-111; Footnote Data (c)</t>
  </si>
  <si>
    <t>Duplicate Charges</t>
  </si>
  <si>
    <t>262-263; Footnote Data (d)</t>
  </si>
  <si>
    <t>262-263; Footnote Data (e)</t>
  </si>
  <si>
    <t xml:space="preserve">Reflects the years that were taken into consideration to develop the table. The table begins in 2001 because all the </t>
  </si>
  <si>
    <t>data needed was not available until 2001 in SAP (SDG&amp;E's general accounting system).</t>
  </si>
  <si>
    <t>Negative of AH-3; Line 30; Col. a</t>
  </si>
  <si>
    <t>Rate Effective Period January 1, 2024 to December 31, 2024</t>
  </si>
  <si>
    <t>TO6 Transmission Plant Deprec. Rates WP</t>
  </si>
  <si>
    <t>2024 Form 1; Page 356; Accts 303 to 398</t>
  </si>
  <si>
    <t>2024 Form 1; Page 356; Electric</t>
  </si>
  <si>
    <t xml:space="preserve">2024 Form 1; Page 234; Footnote Data (d) </t>
  </si>
  <si>
    <t xml:space="preserve">2024 Form 1; Page 274-275; Footnote Data (b) </t>
  </si>
  <si>
    <t>2024 Form 1; Page 276-277; Footnote Data (b)</t>
  </si>
  <si>
    <t>2024 Form 1; Page 274-275; Footnote Data (b)</t>
  </si>
  <si>
    <t xml:space="preserve">2023 Form 1; Page 234; Footnote Data (c) </t>
  </si>
  <si>
    <t xml:space="preserve">2023 Form 1; Page 274-275; Footnote Data (a) </t>
  </si>
  <si>
    <t>2023 Form 1; Page 276-277; Footnote Data (a)</t>
  </si>
  <si>
    <t>2023 Form 1; Page 274-275; Footnote Data (a)</t>
  </si>
  <si>
    <t>Negative of AH-3; Line 29; Col. a; and Sum Lines (24, 25); Col. b</t>
  </si>
  <si>
    <t>Negative of AH-3; Line 34; Col. b</t>
  </si>
  <si>
    <t>Negative of AH-3; Line 31; Col. a</t>
  </si>
  <si>
    <t>Negative of AH-3; Line 27; Col. a</t>
  </si>
  <si>
    <t>Not Applicable to 2024 Base Period</t>
  </si>
  <si>
    <t>Negative of AH-3; Line 33; Col. b</t>
  </si>
  <si>
    <t>Negative of AH-3; Line 26; Col. b</t>
  </si>
  <si>
    <t>Negative of AH-3; Line 35; Col. b</t>
  </si>
  <si>
    <t xml:space="preserve">Negative of AH-3; Line 28; Col. a   </t>
  </si>
  <si>
    <t>Negative of AH-3; Line 32; Col. b</t>
  </si>
  <si>
    <t>There is no balance in FERC Form 1 Page 214 in 2024.</t>
  </si>
  <si>
    <t xml:space="preserve">None of the above items apply to SDG&amp;E's Appendix XII Cycle 8 filing. However, as one or more of these items apply, subject to FERC approval, </t>
  </si>
  <si>
    <t>2001 - 2010</t>
  </si>
  <si>
    <t>2011 - 2020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</si>
</sst>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0.0"/>
    <numFmt numFmtId="170" formatCode="_(* #,##0.000_);_(* \(#,##0.000\);_(* &quot;-&quot;??_);_(@_)"/>
    <numFmt numFmtId="171" formatCode="mmmm\-yy"/>
    <numFmt numFmtId="172" formatCode="_(&quot;$&quot;* #,##0.0_);_(&quot;$&quot;* \(#,##0.0\);_(&quot;$&quot;* &quot;-&quot;??_);_(@_)"/>
    <numFmt numFmtId="173" formatCode="#,##0.0_);\(#,##0.0\)"/>
    <numFmt numFmtId="174" formatCode="#,##0\ \ \ \ \ \ \ "/>
    <numFmt numFmtId="175" formatCode="0.000000"/>
    <numFmt numFmtId="176" formatCode="00000"/>
    <numFmt numFmtId="177" formatCode="General_)"/>
    <numFmt numFmtId="178" formatCode="000"/>
    <numFmt numFmtId="179" formatCode="0000"/>
    <numFmt numFmtId="180" formatCode="mm\-dd\-yy"/>
    <numFmt numFmtId="181" formatCode="_(&quot;$&quot;* #,##0.000_);_(&quot;$&quot;* \(#,##0.000\);_(&quot;$&quot;* &quot;-&quot;??_);_(@_)"/>
    <numFmt numFmtId="182" formatCode="0_);\(0\)"/>
    <numFmt numFmtId="183" formatCode="0.00000%"/>
    <numFmt numFmtId="184" formatCode="&quot;$&quot;#,##0"/>
    <numFmt numFmtId="185" formatCode="&quot;Pr:&quot;\ #,##0"/>
    <numFmt numFmtId="186" formatCode="#,##0.0_);[Red]\(#,##0.0\)"/>
    <numFmt numFmtId="187" formatCode="#,##0_%_);\(#,##0\)_%;#,##0_%_);@_%_)"/>
    <numFmt numFmtId="188" formatCode="#,##0.00_%_);\(#,##0.00\)_%;#,##0.00_%_);@_%_)"/>
    <numFmt numFmtId="189" formatCode="&quot;$&quot;#,##0_%_);\(&quot;$&quot;#,##0\)_%;&quot;$&quot;#,##0_%_);@_%_)"/>
    <numFmt numFmtId="190" formatCode="&quot;$&quot;#,##0.00_%_);\(&quot;$&quot;#,##0.00\)_%;&quot;$&quot;#,##0.00_%_);@_%_)"/>
    <numFmt numFmtId="191" formatCode="m/d/yy_%_)"/>
    <numFmt numFmtId="192" formatCode="#,##0&quot; F&quot;_);\(#,##0&quot; F&quot;\)"/>
    <numFmt numFmtId="193" formatCode="_-* #,##0_-;\-* #,##0_-;_-* &quot;-&quot;_-;_-@_-"/>
    <numFmt numFmtId="194" formatCode="_-* #,##0.00_-;\-* #,##0.00_-;_-* &quot;-&quot;??_-;_-@_-"/>
    <numFmt numFmtId="195" formatCode="0_%_);\(0\)_%;0_%_);@_%_)"/>
    <numFmt numFmtId="196" formatCode="_([$€-2]* #,##0.00_);_([$€-2]* \(#,##0.00\);_([$€-2]* &quot;-&quot;??_)"/>
    <numFmt numFmtId="197" formatCode="#,##0.0000000000_);\(#,##0.0000000000\)"/>
    <numFmt numFmtId="198" formatCode="0.0\%_);\(0.0\%\);0.0\%_);@_%_)"/>
    <numFmt numFmtId="199" formatCode="#,##0.0;\(#,##0.0\)"/>
    <numFmt numFmtId="200" formatCode="\ #,##0\ &quot;m³ &quot;;[Red]\-#,##0\ &quot;m³ &quot;"/>
    <numFmt numFmtId="201" formatCode="0.0\x_)_);&quot;NM&quot;_x_)_);0.0\x_)_);@_%_)"/>
    <numFmt numFmtId="202" formatCode="0.00_)"/>
    <numFmt numFmtId="203" formatCode="&quot;$&quot;#,##0.0_);\(&quot;$&quot;#,##0.0\)"/>
    <numFmt numFmtId="204" formatCode="&quot;yr &quot;0"/>
    <numFmt numFmtId="205" formatCode="&quot;Momth &quot;0"/>
    <numFmt numFmtId="206" formatCode="&quot;£&quot;#,##0.00;\-&quot;£&quot;#,##0.00"/>
    <numFmt numFmtId="207" formatCode="0.0%"/>
    <numFmt numFmtId="208" formatCode="_(&quot;$&quot;* #,##0_);_(&quot;$&quot;* \(#,##0\)"/>
    <numFmt numFmtId="209" formatCode="_(* #,##0.000000_);_(* \(#,##0.000000\);_(* &quot;-&quot;??????_);_(@_)"/>
    <numFmt numFmtId="210" formatCode="0\ \ "/>
    <numFmt numFmtId="211" formatCode="_(&quot;$&quot;* #,##0.00000_);_(&quot;$&quot;* \(#,##0.00000\);_(&quot;$&quot;* &quot;-&quot;??_);_(@_)"/>
    <numFmt numFmtId="212" formatCode="0.000%"/>
    <numFmt numFmtId="213" formatCode="_(&quot;$&quot;* #,##0,_);_(&quot;$&quot;* \(#,##0,\);_(&quot;$&quot;* &quot;-&quot;??_);_(@_)"/>
    <numFmt numFmtId="214" formatCode="&quot;$&quot;#,##0,_);[Red]\(&quot;$&quot;#,##0,\)"/>
    <numFmt numFmtId="215" formatCode="_(* #,##0.0000_);_(* \(#,##0.0000\);_(* &quot;-&quot;??_);_(@_)"/>
    <numFmt numFmtId="216" formatCode="_(&quot;$&quot;* #,##0.0000000_);_(&quot;$&quot;* \(#,##0.0000000\);_(&quot;$&quot;* &quot;-&quot;??_);_(@_)"/>
    <numFmt numFmtId="217" formatCode="_(* #,##0.0000_);_(* \(#,##0.0000\);_(* &quot;-&quot;_);_(@_)"/>
  </numFmts>
  <fonts count="17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b/>
      <sz val="12"/>
      <color rgb="FFFF00FF"/>
      <name val="Times New Roman"/>
      <family val="1"/>
    </font>
    <font>
      <sz val="11"/>
      <name val="Calibri"/>
      <family val="2"/>
      <scheme val="minor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12"/>
      <color rgb="FF222222"/>
      <name val="Times New Roman"/>
      <family val="1"/>
    </font>
    <font>
      <u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0"/>
      <name val="Arial"/>
      <family val="2"/>
    </font>
    <font>
      <b/>
      <strike/>
      <vertAlign val="superscript"/>
      <sz val="12"/>
      <color rgb="FFFF0000"/>
      <name val="Times New Roman"/>
      <family val="1"/>
    </font>
    <font>
      <b/>
      <sz val="12"/>
      <name val="Calibri"/>
      <family val="2"/>
    </font>
    <font>
      <b/>
      <strike/>
      <sz val="12"/>
      <name val="Times New Roman"/>
      <family val="1"/>
    </font>
  </fonts>
  <fills count="1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810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43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3" fillId="40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3" fillId="3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50" borderId="0" applyNumberFormat="0" applyBorder="0" applyAlignment="0" applyProtection="0"/>
    <xf numFmtId="177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40" fillId="56" borderId="21" applyNumberFormat="0" applyProtection="0">
      <alignment vertical="center"/>
    </xf>
    <xf numFmtId="4" fontId="38" fillId="56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21" fillId="59" borderId="21" applyNumberFormat="0" applyProtection="0">
      <alignment vertical="center"/>
    </xf>
    <xf numFmtId="4" fontId="38" fillId="6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0" fillId="62" borderId="21" applyNumberFormat="0" applyProtection="0">
      <alignment vertical="center"/>
    </xf>
    <xf numFmtId="4" fontId="38" fillId="63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1" fillId="56" borderId="21" applyNumberFormat="0" applyProtection="0">
      <alignment vertical="center"/>
    </xf>
    <xf numFmtId="4" fontId="36" fillId="65" borderId="22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4" fontId="42" fillId="67" borderId="21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25" fillId="70" borderId="23" applyNumberFormat="0">
      <protection locked="0"/>
    </xf>
    <xf numFmtId="0" fontId="15" fillId="71" borderId="24" applyBorder="0"/>
    <xf numFmtId="4" fontId="38" fillId="69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5" fillId="67" borderId="21" applyNumberFormat="0" applyProtection="0">
      <alignment vertical="center"/>
    </xf>
    <xf numFmtId="4" fontId="46" fillId="67" borderId="21" applyNumberFormat="0" applyProtection="0">
      <alignment vertical="center"/>
    </xf>
    <xf numFmtId="4" fontId="47" fillId="72" borderId="21" applyNumberFormat="0" applyProtection="0">
      <alignment horizontal="left" vertical="center" indent="1"/>
    </xf>
    <xf numFmtId="4" fontId="48" fillId="68" borderId="25" applyNumberFormat="0" applyProtection="0">
      <alignment horizontal="left" vertical="center" indent="1"/>
    </xf>
    <xf numFmtId="0" fontId="25" fillId="73" borderId="26"/>
    <xf numFmtId="4" fontId="49" fillId="69" borderId="20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/>
    <xf numFmtId="0" fontId="52" fillId="0" borderId="27" applyNumberFormat="0" applyFill="0" applyProtection="0">
      <alignment horizontal="center"/>
    </xf>
    <xf numFmtId="0" fontId="53" fillId="0" borderId="0" applyNumberFormat="0" applyFill="0" applyBorder="0" applyProtection="0">
      <alignment horizontal="centerContinuous"/>
    </xf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6" borderId="0" applyNumberFormat="0" applyBorder="0" applyAlignment="0" applyProtection="0"/>
    <xf numFmtId="0" fontId="60" fillId="79" borderId="28" applyNumberFormat="0" applyAlignment="0" applyProtection="0"/>
    <xf numFmtId="0" fontId="60" fillId="79" borderId="28" applyNumberFormat="0" applyAlignment="0" applyProtection="0"/>
    <xf numFmtId="0" fontId="61" fillId="9" borderId="14" applyNumberFormat="0" applyAlignment="0" applyProtection="0"/>
    <xf numFmtId="0" fontId="62" fillId="77" borderId="29" applyNumberFormat="0" applyAlignment="0" applyProtection="0"/>
    <xf numFmtId="0" fontId="62" fillId="77" borderId="29" applyNumberFormat="0" applyAlignment="0" applyProtection="0"/>
    <xf numFmtId="0" fontId="63" fillId="10" borderId="17" applyNumberForma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64" fillId="0" borderId="0" applyFont="0">
      <alignment horizontal="center"/>
    </xf>
    <xf numFmtId="0" fontId="65" fillId="0" borderId="0" applyNumberFormat="0" applyFill="0" applyBorder="0" applyAlignment="0" applyProtection="0"/>
    <xf numFmtId="1" fontId="54" fillId="0" borderId="0" applyFo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8" fillId="0" borderId="1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70" fillId="0" borderId="1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2" fillId="0" borderId="1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49" borderId="28" applyNumberFormat="0" applyAlignment="0" applyProtection="0"/>
    <xf numFmtId="0" fontId="73" fillId="49" borderId="28" applyNumberFormat="0" applyAlignment="0" applyProtection="0"/>
    <xf numFmtId="0" fontId="74" fillId="8" borderId="14" applyNumberFormat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6" fillId="0" borderId="16" applyNumberFormat="0" applyFill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37" fontId="78" fillId="0" borderId="0"/>
    <xf numFmtId="37" fontId="78" fillId="0" borderId="0"/>
    <xf numFmtId="37" fontId="78" fillId="0" borderId="0"/>
    <xf numFmtId="37" fontId="78" fillId="0" borderId="0"/>
    <xf numFmtId="37" fontId="78" fillId="0" borderId="0"/>
    <xf numFmtId="0" fontId="25" fillId="80" borderId="0"/>
    <xf numFmtId="0" fontId="79" fillId="0" borderId="0"/>
    <xf numFmtId="0" fontId="25" fillId="80" borderId="0"/>
    <xf numFmtId="0" fontId="25" fillId="80" borderId="0"/>
    <xf numFmtId="0" fontId="4" fillId="0" borderId="0"/>
    <xf numFmtId="0" fontId="55" fillId="0" borderId="0"/>
    <xf numFmtId="0" fontId="79" fillId="0" borderId="0"/>
    <xf numFmtId="0" fontId="4" fillId="0" borderId="0"/>
    <xf numFmtId="0" fontId="4" fillId="0" borderId="0"/>
    <xf numFmtId="0" fontId="25" fillId="80" borderId="0"/>
    <xf numFmtId="0" fontId="25" fillId="8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4" fillId="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80" fillId="11" borderId="18" applyNumberFormat="0" applyFont="0" applyAlignment="0" applyProtection="0"/>
    <xf numFmtId="0" fontId="81" fillId="79" borderId="34" applyNumberFormat="0" applyAlignment="0" applyProtection="0"/>
    <xf numFmtId="0" fontId="81" fillId="79" borderId="34" applyNumberFormat="0" applyAlignment="0" applyProtection="0"/>
    <xf numFmtId="0" fontId="82" fillId="9" borderId="1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9">
      <alignment horizontal="center"/>
    </xf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4" fontId="36" fillId="54" borderId="20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34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9" fillId="82" borderId="20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34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5" fillId="54" borderId="34" applyNumberFormat="0" applyProtection="0">
      <alignment vertical="center"/>
    </xf>
    <xf numFmtId="4" fontId="86" fillId="54" borderId="28" applyNumberFormat="0" applyProtection="0">
      <alignment vertical="center"/>
    </xf>
    <xf numFmtId="4" fontId="37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39" fillId="99" borderId="34" applyNumberFormat="0" applyProtection="0">
      <alignment horizontal="left" vertical="center" indent="1"/>
    </xf>
    <xf numFmtId="4" fontId="39" fillId="98" borderId="22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6" fillId="65" borderId="22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9" fillId="98" borderId="22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66" borderId="0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70" borderId="23" applyNumberFormat="0">
      <protection locked="0"/>
    </xf>
    <xf numFmtId="0" fontId="25" fillId="70" borderId="23" applyNumberFormat="0">
      <protection locked="0"/>
    </xf>
    <xf numFmtId="0" fontId="25" fillId="70" borderId="23" applyNumberFormat="0">
      <protection locked="0"/>
    </xf>
    <xf numFmtId="0" fontId="25" fillId="70" borderId="23" applyNumberFormat="0">
      <protection locked="0"/>
    </xf>
    <xf numFmtId="0" fontId="25" fillId="70" borderId="23" applyNumberFormat="0">
      <protection locked="0"/>
    </xf>
    <xf numFmtId="4" fontId="43" fillId="72" borderId="34" applyNumberFormat="0" applyProtection="0">
      <alignment vertical="center"/>
    </xf>
    <xf numFmtId="4" fontId="43" fillId="72" borderId="34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86" fillId="72" borderId="26" applyNumberFormat="0" applyProtection="0">
      <alignment vertical="center"/>
    </xf>
    <xf numFmtId="4" fontId="44" fillId="69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38" fillId="69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88" fillId="102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89" fillId="0" borderId="0"/>
    <xf numFmtId="4" fontId="90" fillId="109" borderId="35" applyNumberFormat="0" applyProtection="0">
      <alignment horizontal="left" vertical="center" indent="1"/>
    </xf>
    <xf numFmtId="0" fontId="89" fillId="0" borderId="0"/>
    <xf numFmtId="0" fontId="89" fillId="0" borderId="0"/>
    <xf numFmtId="4" fontId="48" fillId="68" borderId="25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4" fontId="91" fillId="100" borderId="34" applyNumberFormat="0" applyProtection="0">
      <alignment horizontal="right" vertical="center"/>
    </xf>
    <xf numFmtId="4" fontId="92" fillId="70" borderId="28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0" fontId="93" fillId="110" borderId="0"/>
    <xf numFmtId="49" fontId="94" fillId="110" borderId="0"/>
    <xf numFmtId="49" fontId="95" fillId="110" borderId="37"/>
    <xf numFmtId="49" fontId="95" fillId="110" borderId="0"/>
    <xf numFmtId="0" fontId="93" fillId="67" borderId="37">
      <protection locked="0"/>
    </xf>
    <xf numFmtId="0" fontId="93" fillId="110" borderId="0"/>
    <xf numFmtId="0" fontId="96" fillId="61" borderId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97" fillId="0" borderId="19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" fillId="0" borderId="0"/>
    <xf numFmtId="0" fontId="4" fillId="0" borderId="0"/>
    <xf numFmtId="0" fontId="80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177" fontId="34" fillId="0" borderId="0"/>
    <xf numFmtId="177" fontId="34" fillId="0" borderId="0"/>
    <xf numFmtId="0" fontId="99" fillId="6" borderId="0" applyNumberFormat="0" applyBorder="0" applyAlignment="0" applyProtection="0"/>
    <xf numFmtId="0" fontId="59" fillId="6" borderId="0" applyNumberFormat="0" applyBorder="0" applyAlignment="0" applyProtection="0"/>
    <xf numFmtId="0" fontId="100" fillId="9" borderId="14" applyNumberFormat="0" applyAlignment="0" applyProtection="0"/>
    <xf numFmtId="0" fontId="61" fillId="9" borderId="14" applyNumberFormat="0" applyAlignment="0" applyProtection="0"/>
    <xf numFmtId="0" fontId="101" fillId="10" borderId="17" applyNumberFormat="0" applyAlignment="0" applyProtection="0"/>
    <xf numFmtId="0" fontId="63" fillId="10" borderId="17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2" fillId="5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32" fillId="43" borderId="0" applyNumberFormat="0" applyBorder="0" applyAlignment="0" applyProtection="0"/>
    <xf numFmtId="0" fontId="103" fillId="0" borderId="11" applyNumberFormat="0" applyFill="0" applyAlignment="0" applyProtection="0"/>
    <xf numFmtId="0" fontId="68" fillId="0" borderId="11" applyNumberFormat="0" applyFill="0" applyAlignment="0" applyProtection="0"/>
    <xf numFmtId="0" fontId="104" fillId="0" borderId="12" applyNumberFormat="0" applyFill="0" applyAlignment="0" applyProtection="0"/>
    <xf numFmtId="0" fontId="70" fillId="0" borderId="12" applyNumberFormat="0" applyFill="0" applyAlignment="0" applyProtection="0"/>
    <xf numFmtId="0" fontId="105" fillId="0" borderId="13" applyNumberFormat="0" applyFill="0" applyAlignment="0" applyProtection="0"/>
    <xf numFmtId="0" fontId="72" fillId="0" borderId="13" applyNumberFormat="0" applyFill="0" applyAlignment="0" applyProtection="0"/>
    <xf numFmtId="0" fontId="10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6" fillId="8" borderId="14" applyNumberFormat="0" applyAlignment="0" applyProtection="0"/>
    <xf numFmtId="0" fontId="74" fillId="8" borderId="14" applyNumberFormat="0" applyAlignment="0" applyProtection="0"/>
    <xf numFmtId="0" fontId="107" fillId="0" borderId="16" applyNumberFormat="0" applyFill="0" applyAlignment="0" applyProtection="0"/>
    <xf numFmtId="0" fontId="76" fillId="0" borderId="16" applyNumberFormat="0" applyFill="0" applyAlignment="0" applyProtection="0"/>
    <xf numFmtId="0" fontId="108" fillId="7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0" fontId="75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25" fillId="8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5" fillId="80" borderId="0"/>
    <xf numFmtId="0" fontId="25" fillId="80" borderId="0"/>
    <xf numFmtId="0" fontId="10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5" fillId="48" borderId="2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110" fillId="9" borderId="15" applyNumberFormat="0" applyAlignment="0" applyProtection="0"/>
    <xf numFmtId="0" fontId="82" fillId="9" borderId="1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6" fillId="54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25" fillId="70" borderId="23" applyNumberFormat="0">
      <protection locked="0"/>
    </xf>
    <xf numFmtId="0" fontId="25" fillId="70" borderId="23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70" borderId="23" applyNumberFormat="0">
      <protection locked="0"/>
    </xf>
    <xf numFmtId="4" fontId="88" fillId="108" borderId="20" applyNumberFormat="0" applyProtection="0">
      <alignment vertical="center"/>
    </xf>
    <xf numFmtId="4" fontId="86" fillId="72" borderId="26" applyNumberFormat="0" applyProtection="0">
      <alignment vertical="center"/>
    </xf>
    <xf numFmtId="4" fontId="88" fillId="104" borderId="20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5" fillId="73" borderId="26"/>
    <xf numFmtId="4" fontId="92" fillId="70" borderId="28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12" fillId="0" borderId="19" applyNumberFormat="0" applyFill="0" applyAlignment="0" applyProtection="0"/>
    <xf numFmtId="0" fontId="97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5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9" fillId="54" borderId="20" applyNumberFormat="0" applyProtection="0">
      <alignment horizontal="left" vertical="top" indent="1"/>
    </xf>
    <xf numFmtId="0" fontId="62" fillId="77" borderId="40" applyNumberFormat="0" applyAlignment="0" applyProtection="0"/>
    <xf numFmtId="0" fontId="62" fillId="77" borderId="40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4" fillId="0" borderId="39">
      <alignment horizont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116" fillId="54" borderId="20" applyNumberFormat="0" applyProtection="0">
      <alignment vertical="center"/>
    </xf>
    <xf numFmtId="44" fontId="4" fillId="0" borderId="0" applyFont="0" applyFill="0" applyBorder="0" applyAlignment="0" applyProtection="0"/>
    <xf numFmtId="4" fontId="91" fillId="101" borderId="20" applyNumberFormat="0" applyProtection="0">
      <alignment horizontal="right" vertical="center"/>
    </xf>
    <xf numFmtId="44" fontId="4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68" borderId="20" applyNumberFormat="0" applyProtection="0">
      <alignment horizontal="left" vertical="top" indent="1"/>
    </xf>
    <xf numFmtId="0" fontId="55" fillId="11" borderId="18" applyNumberFormat="0" applyFon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66" borderId="20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69" borderId="20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55" borderId="20" applyNumberFormat="0" applyProtection="0">
      <alignment horizontal="left" vertical="top" inden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85" fillId="72" borderId="20" applyNumberFormat="0" applyProtection="0">
      <alignment vertical="center"/>
    </xf>
    <xf numFmtId="4" fontId="48" fillId="109" borderId="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77" borderId="53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77" borderId="53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4" fontId="4" fillId="0" borderId="0" applyFont="0" applyFill="0" applyBorder="0" applyAlignment="0" applyProtection="0"/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43" fontId="4" fillId="0" borderId="0" applyFont="0" applyFill="0" applyBorder="0" applyAlignment="0" applyProtection="0"/>
    <xf numFmtId="0" fontId="4" fillId="0" borderId="0"/>
    <xf numFmtId="4" fontId="36" fillId="65" borderId="56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6" fontId="4" fillId="0" borderId="0">
      <protection locked="0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55"/>
    <xf numFmtId="0" fontId="4" fillId="69" borderId="77" applyNumberFormat="0" applyProtection="0">
      <alignment horizontal="left" vertical="top" indent="1"/>
    </xf>
    <xf numFmtId="0" fontId="114" fillId="0" borderId="0"/>
    <xf numFmtId="41" fontId="2" fillId="0" borderId="0" applyFont="0" applyFill="0" applyBorder="0" applyAlignment="0" applyProtection="0"/>
    <xf numFmtId="4" fontId="43" fillId="102" borderId="77" applyNumberFormat="0" applyProtection="0">
      <alignment horizontal="left" vertical="center" inden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52" fillId="0" borderId="58" applyNumberFormat="0" applyFill="0" applyProtection="0">
      <alignment horizontal="center"/>
    </xf>
    <xf numFmtId="4" fontId="43" fillId="102" borderId="77" applyNumberFormat="0" applyProtection="0">
      <alignment horizontal="left" vertical="center" indent="1"/>
    </xf>
    <xf numFmtId="177" fontId="118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3" fillId="116" borderId="0" applyNumberFormat="0" applyBorder="0" applyAlignment="0" applyProtection="0"/>
    <xf numFmtId="0" fontId="43" fillId="116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119" fillId="117" borderId="0" applyNumberFormat="0" applyBorder="0" applyAlignment="0" applyProtection="0"/>
    <xf numFmtId="0" fontId="119" fillId="117" borderId="0" applyNumberFormat="0" applyBorder="0" applyAlignment="0" applyProtection="0"/>
    <xf numFmtId="0" fontId="119" fillId="87" borderId="0" applyNumberFormat="0" applyBorder="0" applyAlignment="0" applyProtection="0"/>
    <xf numFmtId="0" fontId="119" fillId="87" borderId="0" applyNumberFormat="0" applyBorder="0" applyAlignment="0" applyProtection="0"/>
    <xf numFmtId="0" fontId="119" fillId="96" borderId="0" applyNumberFormat="0" applyBorder="0" applyAlignment="0" applyProtection="0"/>
    <xf numFmtId="0" fontId="119" fillId="96" borderId="0" applyNumberFormat="0" applyBorder="0" applyAlignment="0" applyProtection="0"/>
    <xf numFmtId="0" fontId="119" fillId="118" borderId="0" applyNumberFormat="0" applyBorder="0" applyAlignment="0" applyProtection="0"/>
    <xf numFmtId="0" fontId="119" fillId="11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119" borderId="0" applyNumberFormat="0" applyBorder="0" applyAlignment="0" applyProtection="0"/>
    <xf numFmtId="0" fontId="119" fillId="119" borderId="0" applyNumberFormat="0" applyBorder="0" applyAlignment="0" applyProtection="0"/>
    <xf numFmtId="0" fontId="119" fillId="88" borderId="0" applyNumberFormat="0" applyBorder="0" applyAlignment="0" applyProtection="0"/>
    <xf numFmtId="0" fontId="119" fillId="88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118" borderId="0" applyNumberFormat="0" applyBorder="0" applyAlignment="0" applyProtection="0"/>
    <xf numFmtId="0" fontId="119" fillId="11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9" fillId="92" borderId="0" applyNumberFormat="0" applyBorder="0" applyAlignment="0" applyProtection="0"/>
    <xf numFmtId="0" fontId="119" fillId="92" borderId="0" applyNumberFormat="0" applyBorder="0" applyAlignment="0" applyProtection="0"/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0" fontId="120" fillId="85" borderId="0" applyNumberFormat="0" applyBorder="0" applyAlignment="0" applyProtection="0"/>
    <xf numFmtId="0" fontId="120" fillId="85" borderId="0" applyNumberFormat="0" applyBorder="0" applyAlignment="0" applyProtection="0"/>
    <xf numFmtId="3" fontId="121" fillId="0" borderId="0" applyFill="0" applyBorder="0" applyProtection="0">
      <alignment horizontal="right"/>
    </xf>
    <xf numFmtId="186" fontId="122" fillId="0" borderId="0" applyNumberFormat="0" applyFill="0" applyBorder="0" applyAlignment="0" applyProtection="0">
      <alignment horizontal="center"/>
      <protection locked="0"/>
    </xf>
    <xf numFmtId="0" fontId="123" fillId="0" borderId="44" applyFill="0" applyProtection="0">
      <alignment horizontal="right"/>
    </xf>
    <xf numFmtId="0" fontId="124" fillId="104" borderId="60" applyNumberFormat="0" applyAlignment="0" applyProtection="0"/>
    <xf numFmtId="0" fontId="124" fillId="104" borderId="60" applyNumberFormat="0" applyAlignment="0" applyProtection="0"/>
    <xf numFmtId="8" fontId="4" fillId="0" borderId="43" applyFont="0" applyFill="0" applyBorder="0" applyProtection="0">
      <alignment horizontal="right"/>
    </xf>
    <xf numFmtId="0" fontId="125" fillId="120" borderId="53" applyNumberFormat="0" applyAlignment="0" applyProtection="0"/>
    <xf numFmtId="0" fontId="125" fillId="120" borderId="53" applyNumberFormat="0" applyAlignment="0" applyProtection="0"/>
    <xf numFmtId="0" fontId="15" fillId="0" borderId="46">
      <alignment horizontal="center"/>
    </xf>
    <xf numFmtId="187" fontId="126" fillId="0" borderId="0" applyFont="0" applyFill="0" applyBorder="0" applyAlignment="0" applyProtection="0">
      <alignment horizontal="right"/>
    </xf>
    <xf numFmtId="0" fontId="43" fillId="68" borderId="77" applyNumberFormat="0" applyProtection="0">
      <alignment horizontal="left" vertical="top" indent="1"/>
    </xf>
    <xf numFmtId="43" fontId="4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43" fontId="32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4" fontId="91" fillId="101" borderId="77" applyNumberFormat="0" applyProtection="0">
      <alignment horizontal="right"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1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91" fillId="101" borderId="77" applyNumberFormat="0" applyProtection="0">
      <alignment horizontal="right" vertical="center"/>
    </xf>
    <xf numFmtId="40" fontId="4" fillId="0" borderId="0" applyFont="0" applyFill="0" applyBorder="0" applyProtection="0">
      <alignment horizontal="right"/>
    </xf>
    <xf numFmtId="3" fontId="4" fillId="0" borderId="0" applyFont="0" applyFill="0" applyBorder="0" applyAlignment="0" applyProtection="0"/>
    <xf numFmtId="189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0" fontId="4" fillId="0" borderId="0" applyFont="0" applyFill="0" applyBorder="0" applyAlignment="0" applyProtection="0"/>
    <xf numFmtId="6" fontId="4" fillId="0" borderId="0">
      <protection locked="0"/>
    </xf>
    <xf numFmtId="15" fontId="15" fillId="0" borderId="0" applyFill="0" applyBorder="0" applyAlignment="0" applyProtection="0"/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191" fontId="126" fillId="0" borderId="0" applyFont="0" applyFill="0" applyBorder="0" applyAlignment="0" applyProtection="0"/>
    <xf numFmtId="192" fontId="4" fillId="0" borderId="0">
      <protection locked="0"/>
    </xf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126" fillId="0" borderId="61" applyNumberFormat="0" applyFont="0" applyFill="0" applyAlignment="0" applyProtection="0"/>
    <xf numFmtId="196" fontId="4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9" fontId="83" fillId="0" borderId="0"/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Fill="0" applyBorder="0" applyProtection="0">
      <alignment horizontal="left"/>
    </xf>
    <xf numFmtId="37" fontId="25" fillId="0" borderId="0"/>
    <xf numFmtId="0" fontId="131" fillId="113" borderId="0" applyNumberFormat="0" applyBorder="0" applyAlignment="0" applyProtection="0"/>
    <xf numFmtId="0" fontId="131" fillId="113" borderId="0" applyNumberFormat="0" applyBorder="0" applyAlignment="0" applyProtection="0"/>
    <xf numFmtId="38" fontId="25" fillId="4" borderId="0" applyNumberFormat="0" applyBorder="0" applyAlignment="0" applyProtection="0"/>
    <xf numFmtId="198" fontId="126" fillId="0" borderId="0" applyFont="0" applyFill="0" applyBorder="0" applyAlignment="0" applyProtection="0">
      <alignment horizontal="right"/>
    </xf>
    <xf numFmtId="0" fontId="132" fillId="0" borderId="0" applyNumberFormat="0" applyFill="0" applyBorder="0" applyAlignment="0" applyProtection="0"/>
    <xf numFmtId="0" fontId="22" fillId="0" borderId="0" applyFill="0" applyBorder="0" applyProtection="0">
      <alignment horizontal="right"/>
    </xf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4" fillId="0" borderId="63" applyNumberFormat="0" applyFill="0" applyAlignment="0" applyProtection="0"/>
    <xf numFmtId="0" fontId="134" fillId="0" borderId="63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23" fillId="0" borderId="65" applyNumberFormat="0" applyFill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9" fontId="137" fillId="0" borderId="0"/>
    <xf numFmtId="10" fontId="25" fillId="72" borderId="55" applyNumberFormat="0" applyBorder="0" applyAlignment="0" applyProtection="0"/>
    <xf numFmtId="0" fontId="138" fillId="116" borderId="60" applyNumberFormat="0" applyAlignment="0" applyProtection="0"/>
    <xf numFmtId="0" fontId="138" fillId="116" borderId="60" applyNumberFormat="0" applyAlignment="0" applyProtection="0"/>
    <xf numFmtId="10" fontId="25" fillId="72" borderId="0">
      <protection locked="0"/>
    </xf>
    <xf numFmtId="0" fontId="139" fillId="0" borderId="66">
      <alignment horizontal="right"/>
    </xf>
    <xf numFmtId="0" fontId="139" fillId="0" borderId="66">
      <alignment horizontal="left"/>
    </xf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186" fontId="25" fillId="0" borderId="0" applyNumberFormat="0" applyFont="0" applyFill="0" applyBorder="0" applyAlignment="0">
      <protection hidden="1"/>
    </xf>
    <xf numFmtId="200" fontId="127" fillId="0" borderId="45">
      <alignment horizontal="right"/>
    </xf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1" fontId="126" fillId="0" borderId="0" applyFont="0" applyFill="0" applyBorder="0" applyAlignment="0" applyProtection="0">
      <alignment horizontal="right"/>
    </xf>
    <xf numFmtId="0" fontId="141" fillId="82" borderId="0" applyNumberFormat="0" applyBorder="0" applyAlignment="0" applyProtection="0"/>
    <xf numFmtId="0" fontId="141" fillId="82" borderId="0" applyNumberFormat="0" applyBorder="0" applyAlignment="0" applyProtection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199" fontId="142" fillId="0" borderId="0"/>
    <xf numFmtId="0" fontId="32" fillId="0" borderId="0"/>
    <xf numFmtId="0" fontId="32" fillId="0" borderId="0"/>
    <xf numFmtId="0" fontId="4" fillId="0" borderId="0"/>
    <xf numFmtId="175" fontId="4" fillId="0" borderId="0">
      <alignment horizontal="left" wrapText="1"/>
    </xf>
    <xf numFmtId="175" fontId="25" fillId="0" borderId="0">
      <alignment horizontal="left" wrapText="1"/>
    </xf>
    <xf numFmtId="175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2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32" fillId="0" borderId="0"/>
    <xf numFmtId="175" fontId="25" fillId="0" borderId="0">
      <alignment horizontal="left" wrapText="1"/>
    </xf>
    <xf numFmtId="0" fontId="32" fillId="0" borderId="0"/>
    <xf numFmtId="37" fontId="118" fillId="0" borderId="0"/>
    <xf numFmtId="37" fontId="1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175" fontId="4" fillId="0" borderId="0">
      <alignment horizontal="left" wrapText="1"/>
    </xf>
    <xf numFmtId="186" fontId="15" fillId="0" borderId="0" applyNumberFormat="0" applyFill="0" applyBorder="0" applyAlignment="0" applyProtection="0"/>
    <xf numFmtId="0" fontId="32" fillId="11" borderId="18" applyNumberFormat="0" applyFont="0" applyAlignment="0" applyProtection="0"/>
    <xf numFmtId="0" fontId="43" fillId="108" borderId="68" applyNumberFormat="0" applyFont="0" applyAlignment="0" applyProtection="0"/>
    <xf numFmtId="0" fontId="43" fillId="108" borderId="68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1" fontId="144" fillId="0" borderId="0" applyProtection="0">
      <alignment horizontal="right" vertical="center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195" fontId="148" fillId="0" borderId="75" applyBorder="0" applyProtection="0">
      <alignment horizontal="right"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93" fontId="83" fillId="0" borderId="0" applyFont="0" applyFill="0" applyBorder="0" applyProtection="0">
      <alignment horizontal="right"/>
    </xf>
    <xf numFmtId="0" fontId="4" fillId="0" borderId="0">
      <protection locked="0"/>
    </xf>
    <xf numFmtId="0" fontId="26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83" fillId="0" borderId="0" applyNumberFormat="0" applyFont="0" applyFill="0" applyBorder="0" applyAlignment="0" applyProtection="0">
      <alignment horizontal="left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66">
      <alignment horizontal="center"/>
    </xf>
    <xf numFmtId="0" fontId="84" fillId="0" borderId="66">
      <alignment horizontal="center"/>
    </xf>
    <xf numFmtId="0" fontId="84" fillId="0" borderId="66">
      <alignment horizontal="center"/>
    </xf>
    <xf numFmtId="0" fontId="84" fillId="0" borderId="66">
      <alignment horizontal="center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0" fontId="83" fillId="81" borderId="0" applyNumberFormat="0" applyFont="0" applyBorder="0" applyAlignment="0" applyProtection="0"/>
    <xf numFmtId="203" fontId="145" fillId="0" borderId="0"/>
    <xf numFmtId="204" fontId="83" fillId="0" borderId="0" applyFont="0" applyFill="0" applyBorder="0" applyProtection="0">
      <alignment horizontal="right"/>
    </xf>
    <xf numFmtId="205" fontId="83" fillId="0" borderId="0" applyFont="0" applyFill="0" applyBorder="0" applyProtection="0">
      <alignment horizontal="right"/>
    </xf>
    <xf numFmtId="204" fontId="83" fillId="0" borderId="0" applyFont="0" applyFill="0" applyBorder="0" applyProtection="0">
      <alignment horizontal="right"/>
    </xf>
    <xf numFmtId="184" fontId="121" fillId="0" borderId="0" applyFill="0" applyBorder="0" applyProtection="0">
      <alignment horizontal="right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76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4" fontId="4" fillId="0" borderId="0" applyFont="0" applyFill="0" applyBorder="0" applyAlignment="0" applyProtection="0"/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1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14" fillId="0" borderId="0" applyFill="0" applyBorder="0" applyProtection="0">
      <alignment horizontal="left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3" fillId="121" borderId="69" applyNumberFormat="0" applyFont="0" applyAlignment="0" applyProtection="0"/>
    <xf numFmtId="0" fontId="4" fillId="122" borderId="0"/>
    <xf numFmtId="12" fontId="4" fillId="0" borderId="0" applyFont="0" applyFill="0" applyBorder="0" applyProtection="0">
      <alignment horizontal="right"/>
    </xf>
    <xf numFmtId="206" fontId="83" fillId="123" borderId="0" applyFont="0" applyFill="0" applyBorder="0" applyProtection="0">
      <alignment horizontal="right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3" fillId="0" borderId="0" applyNumberFormat="0" applyBorder="0" applyAlignment="0"/>
    <xf numFmtId="0" fontId="146" fillId="0" borderId="0" applyNumberFormat="0" applyBorder="0" applyAlignment="0"/>
    <xf numFmtId="0" fontId="147" fillId="0" borderId="0" applyNumberFormat="0" applyBorder="0" applyAlignment="0"/>
    <xf numFmtId="0" fontId="146" fillId="0" borderId="0" applyNumberFormat="0" applyBorder="0" applyAlignment="0"/>
    <xf numFmtId="0" fontId="146" fillId="0" borderId="0" applyNumberFormat="0" applyBorder="0" applyAlignment="0"/>
    <xf numFmtId="0" fontId="148" fillId="0" borderId="0" applyBorder="0" applyProtection="0">
      <alignment vertical="center"/>
    </xf>
    <xf numFmtId="195" fontId="148" fillId="0" borderId="54" applyBorder="0" applyProtection="0">
      <alignment horizontal="right" vertical="center"/>
    </xf>
    <xf numFmtId="0" fontId="149" fillId="124" borderId="0" applyBorder="0" applyProtection="0">
      <alignment horizontal="centerContinuous" vertical="center"/>
    </xf>
    <xf numFmtId="0" fontId="149" fillId="125" borderId="54" applyBorder="0" applyProtection="0">
      <alignment horizontal="centerContinuous" vertical="center"/>
    </xf>
    <xf numFmtId="0" fontId="139" fillId="0" borderId="0">
      <alignment horizontal="left"/>
      <protection locked="0"/>
    </xf>
    <xf numFmtId="0" fontId="150" fillId="0" borderId="0" applyFill="0" applyBorder="0" applyProtection="0">
      <alignment horizontal="left"/>
    </xf>
    <xf numFmtId="0" fontId="130" fillId="0" borderId="47" applyFill="0" applyBorder="0" applyProtection="0">
      <alignment horizontal="left" vertical="top"/>
    </xf>
    <xf numFmtId="42" fontId="25" fillId="126" borderId="0" applyNumberFormat="0" applyFont="0" applyBorder="0" applyAlignment="0" applyProtection="0"/>
    <xf numFmtId="0" fontId="25" fillId="0" borderId="0"/>
    <xf numFmtId="0" fontId="151" fillId="0" borderId="0" applyFill="0" applyBorder="0" applyProtection="0">
      <alignment horizontal="left" vertical="top"/>
    </xf>
    <xf numFmtId="0" fontId="152" fillId="0" borderId="0" applyFill="0" applyBorder="0" applyAlignment="0" applyProtection="0"/>
    <xf numFmtId="0" fontId="39" fillId="0" borderId="70" applyNumberFormat="0" applyFill="0" applyAlignment="0" applyProtection="0"/>
    <xf numFmtId="0" fontId="39" fillId="0" borderId="70" applyNumberFormat="0" applyFill="0" applyAlignment="0" applyProtection="0"/>
    <xf numFmtId="3" fontId="127" fillId="0" borderId="42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207" fontId="83" fillId="0" borderId="0">
      <alignment horizontal="left"/>
      <protection locked="0"/>
    </xf>
    <xf numFmtId="186" fontId="153" fillId="0" borderId="0"/>
    <xf numFmtId="38" fontId="25" fillId="54" borderId="0" applyNumberFormat="0" applyBorder="0" applyAlignment="0" applyProtection="0"/>
    <xf numFmtId="37" fontId="25" fillId="4" borderId="0" applyNumberFormat="0" applyBorder="0" applyAlignment="0" applyProtection="0"/>
    <xf numFmtId="37" fontId="25" fillId="0" borderId="0"/>
    <xf numFmtId="37" fontId="25" fillId="54" borderId="0" applyNumberFormat="0" applyBorder="0" applyAlignment="0" applyProtection="0"/>
    <xf numFmtId="3" fontId="154" fillId="0" borderId="65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39" fillId="0" borderId="66">
      <alignment horizontal="right"/>
    </xf>
    <xf numFmtId="37" fontId="25" fillId="0" borderId="0"/>
    <xf numFmtId="208" fontId="25" fillId="0" borderId="0"/>
    <xf numFmtId="37" fontId="25" fillId="0" borderId="0"/>
    <xf numFmtId="4" fontId="91" fillId="101" borderId="77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37" fontId="118" fillId="0" borderId="0"/>
    <xf numFmtId="0" fontId="155" fillId="0" borderId="0"/>
    <xf numFmtId="0" fontId="18" fillId="0" borderId="0"/>
    <xf numFmtId="37" fontId="118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8" fillId="0" borderId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91" fillId="101" borderId="77" applyNumberFormat="0" applyProtection="0">
      <alignment horizontal="right" vertical="center"/>
    </xf>
    <xf numFmtId="41" fontId="4" fillId="0" borderId="0" applyFont="0" applyFill="0" applyBorder="0" applyAlignment="0" applyProtection="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8" fontId="4" fillId="0" borderId="71" applyFont="0" applyFill="0" applyBorder="0" applyProtection="0">
      <alignment horizontal="right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6" fontId="4" fillId="0" borderId="0">
      <protection locked="0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139" fillId="0" borderId="39">
      <alignment horizontal="right"/>
    </xf>
    <xf numFmtId="0" fontId="139" fillId="0" borderId="39">
      <alignment horizontal="left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84" fillId="0" borderId="39">
      <alignment horizontal="center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6" fontId="4" fillId="0" borderId="0">
      <protection locked="0"/>
    </xf>
    <xf numFmtId="44" fontId="4" fillId="0" borderId="0" applyFont="0" applyFill="0" applyBorder="0" applyAlignment="0" applyProtection="0"/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4" fillId="0" borderId="0"/>
    <xf numFmtId="195" fontId="148" fillId="0" borderId="41" applyBorder="0" applyProtection="0">
      <alignment horizontal="right" vertical="center"/>
    </xf>
    <xf numFmtId="0" fontId="149" fillId="125" borderId="41" applyBorder="0" applyProtection="0">
      <alignment horizontal="centerContinuous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0" fontId="139" fillId="0" borderId="39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0"/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03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81" fillId="79" borderId="73" applyNumberFormat="0" applyAlignment="0" applyProtection="0"/>
    <xf numFmtId="0" fontId="81" fillId="79" borderId="73" applyNumberFormat="0" applyAlignment="0" applyProtection="0"/>
    <xf numFmtId="4" fontId="36" fillId="54" borderId="77" applyNumberFormat="0" applyProtection="0">
      <alignment vertical="center"/>
    </xf>
    <xf numFmtId="4" fontId="43" fillId="54" borderId="73" applyNumberFormat="0" applyProtection="0">
      <alignment vertical="center"/>
    </xf>
    <xf numFmtId="4" fontId="43" fillId="54" borderId="73" applyNumberFormat="0" applyProtection="0">
      <alignment vertical="center"/>
    </xf>
    <xf numFmtId="4" fontId="85" fillId="54" borderId="73" applyNumberFormat="0" applyProtection="0">
      <alignment vertical="center"/>
    </xf>
    <xf numFmtId="4" fontId="37" fillId="54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57" borderId="73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39" fillId="99" borderId="73" applyNumberFormat="0" applyProtection="0">
      <alignment horizontal="left" vertical="center" indent="1"/>
    </xf>
    <xf numFmtId="4" fontId="39" fillId="98" borderId="56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72" borderId="73" applyNumberFormat="0" applyProtection="0">
      <alignment vertical="center"/>
    </xf>
    <xf numFmtId="4" fontId="43" fillId="72" borderId="73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85" fillId="72" borderId="73" applyNumberFormat="0" applyProtection="0">
      <alignment vertical="center"/>
    </xf>
    <xf numFmtId="4" fontId="86" fillId="72" borderId="80" applyNumberFormat="0" applyProtection="0">
      <alignment vertical="center"/>
    </xf>
    <xf numFmtId="4" fontId="44" fillId="69" borderId="77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88" fillId="102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8" fillId="68" borderId="79" applyNumberFormat="0" applyProtection="0">
      <alignment horizontal="left" vertical="center" indent="1"/>
    </xf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4" fontId="91" fillId="100" borderId="73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84" borderId="73" applyNumberFormat="0" applyProtection="0">
      <alignment horizontal="left" vertical="center" indent="1"/>
    </xf>
    <xf numFmtId="4" fontId="43" fillId="56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5" fillId="83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24" fillId="0" borderId="0"/>
    <xf numFmtId="43" fontId="24" fillId="0" borderId="0" applyFont="0" applyFill="0" applyBorder="0" applyAlignment="0" applyProtection="0"/>
    <xf numFmtId="4" fontId="39" fillId="82" borderId="77" applyNumberFormat="0" applyProtection="0">
      <alignment vertical="center"/>
    </xf>
    <xf numFmtId="0" fontId="4" fillId="0" borderId="0"/>
    <xf numFmtId="43" fontId="4" fillId="0" borderId="0" applyFont="0" applyFill="0" applyBorder="0" applyAlignment="0" applyProtection="0"/>
    <xf numFmtId="4" fontId="43" fillId="88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3" fillId="108" borderId="83" applyNumberFormat="0" applyFont="0" applyAlignment="0" applyProtection="0"/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2" fillId="0" borderId="0"/>
    <xf numFmtId="0" fontId="2" fillId="0" borderId="0"/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86" borderId="28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43" fillId="54" borderId="73" applyNumberFormat="0" applyProtection="0">
      <alignment vertical="center"/>
    </xf>
    <xf numFmtId="4" fontId="85" fillId="54" borderId="73" applyNumberFormat="0" applyProtection="0">
      <alignment vertical="center"/>
    </xf>
    <xf numFmtId="4" fontId="43" fillId="88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43" fillId="54" borderId="73" applyNumberFormat="0" applyProtection="0">
      <alignment vertical="center"/>
    </xf>
    <xf numFmtId="0" fontId="25" fillId="105" borderId="28" applyNumberFormat="0" applyProtection="0">
      <alignment horizontal="left" vertical="center" indent="1"/>
    </xf>
    <xf numFmtId="0" fontId="125" fillId="120" borderId="53" applyNumberFormat="0" applyAlignment="0" applyProtection="0"/>
    <xf numFmtId="0" fontId="88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43" fillId="64" borderId="73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90" fillId="109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88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88" fillId="10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86" fillId="72" borderId="80" applyNumberFormat="0" applyProtection="0">
      <alignment vertical="center"/>
    </xf>
    <xf numFmtId="4" fontId="85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43" fillId="72" borderId="77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43" fillId="72" borderId="73" applyNumberFormat="0" applyProtection="0">
      <alignment vertical="center"/>
    </xf>
    <xf numFmtId="4" fontId="38" fillId="62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15" fillId="71" borderId="78" applyBorder="0"/>
    <xf numFmtId="4" fontId="38" fillId="69" borderId="77" applyNumberFormat="0" applyProtection="0">
      <alignment vertical="center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73" borderId="80"/>
    <xf numFmtId="4" fontId="43" fillId="96" borderId="77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39" fillId="99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8" fillId="62" borderId="77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86" fillId="54" borderId="28" applyNumberFormat="0" applyProtection="0">
      <alignment vertical="center"/>
    </xf>
    <xf numFmtId="4" fontId="85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6" fillId="54" borderId="77" applyNumberFormat="0" applyProtection="0">
      <alignment vertical="center"/>
    </xf>
    <xf numFmtId="4" fontId="43" fillId="0" borderId="77" applyNumberFormat="0" applyProtection="0">
      <alignment horizontal="left" vertical="center" indent="1"/>
    </xf>
    <xf numFmtId="0" fontId="84" fillId="0" borderId="9">
      <alignment horizontal="center"/>
    </xf>
    <xf numFmtId="0" fontId="4" fillId="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0" fontId="81" fillId="79" borderId="73" applyNumberFormat="0" applyAlignment="0" applyProtection="0"/>
    <xf numFmtId="0" fontId="81" fillId="79" borderId="73" applyNumberForma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73" borderId="80"/>
    <xf numFmtId="4" fontId="38" fillId="64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7" fillId="54" borderId="77" applyNumberFormat="0" applyProtection="0">
      <alignment vertical="center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81" fillId="79" borderId="73" applyNumberFormat="0" applyAlignment="0" applyProtection="0"/>
    <xf numFmtId="4" fontId="39" fillId="82" borderId="77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6" fillId="54" borderId="28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73" fillId="49" borderId="28" applyNumberFormat="0" applyAlignment="0" applyProtection="0"/>
    <xf numFmtId="0" fontId="73" fillId="49" borderId="28" applyNumberFormat="0" applyAlignment="0" applyProtection="0"/>
    <xf numFmtId="4" fontId="25" fillId="85" borderId="28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0" fontId="60" fillId="79" borderId="28" applyNumberFormat="0" applyAlignment="0" applyProtection="0"/>
    <xf numFmtId="0" fontId="60" fillId="79" borderId="28" applyNumberFormat="0" applyAlignment="0" applyProtection="0"/>
    <xf numFmtId="0" fontId="4" fillId="68" borderId="77" applyNumberFormat="0" applyProtection="0">
      <alignment horizontal="left" vertical="top" indent="1"/>
    </xf>
    <xf numFmtId="4" fontId="38" fillId="59" borderId="77" applyNumberFormat="0" applyProtection="0">
      <alignment horizontal="right" vertical="center"/>
    </xf>
    <xf numFmtId="0" fontId="25" fillId="48" borderId="28" applyNumberFormat="0" applyFont="0" applyAlignment="0" applyProtection="0"/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36" fillId="54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60" fillId="79" borderId="28" applyNumberFormat="0" applyAlignment="0" applyProtection="0"/>
    <xf numFmtId="4" fontId="39" fillId="82" borderId="77" applyNumberFormat="0" applyProtection="0">
      <alignment vertical="center"/>
    </xf>
    <xf numFmtId="4" fontId="91" fillId="100" borderId="73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43" fillId="0" borderId="73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25" fillId="48" borderId="28" applyNumberFormat="0" applyFont="0" applyAlignment="0" applyProtection="0"/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9" fontId="95" fillId="110" borderId="37"/>
    <xf numFmtId="4" fontId="92" fillId="70" borderId="28" applyNumberFormat="0" applyProtection="0">
      <alignment horizontal="right" vertical="center"/>
    </xf>
    <xf numFmtId="0" fontId="25" fillId="73" borderId="80"/>
    <xf numFmtId="0" fontId="25" fillId="73" borderId="80"/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130" fillId="0" borderId="47" applyFill="0" applyBorder="0" applyProtection="0">
      <alignment horizontal="left" vertical="top"/>
    </xf>
    <xf numFmtId="0" fontId="4" fillId="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15" fillId="71" borderId="78" applyBorder="0"/>
    <xf numFmtId="0" fontId="4" fillId="0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35" fillId="0" borderId="38" applyNumberFormat="0" applyFill="0" applyAlignment="0" applyProtection="0"/>
    <xf numFmtId="4" fontId="91" fillId="101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25" fillId="73" borderId="80"/>
    <xf numFmtId="0" fontId="25" fillId="70" borderId="57" applyNumberFormat="0">
      <protection locked="0"/>
    </xf>
    <xf numFmtId="4" fontId="25" fillId="0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88" fillId="108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35" fillId="0" borderId="38" applyNumberFormat="0" applyFill="0" applyAlignment="0" applyProtection="0"/>
    <xf numFmtId="4" fontId="25" fillId="89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55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4" fontId="38" fillId="69" borderId="77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38" fillId="69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0" fontId="73" fillId="49" borderId="28" applyNumberFormat="0" applyAlignment="0" applyProtection="0"/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43" fillId="97" borderId="73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88" borderId="77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0" fontId="25" fillId="73" borderId="80"/>
    <xf numFmtId="0" fontId="25" fillId="101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0" fontId="60" fillId="79" borderId="28" applyNumberFormat="0" applyAlignment="0" applyProtection="0"/>
    <xf numFmtId="4" fontId="43" fillId="100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88" borderId="35" applyNumberFormat="0" applyProtection="0">
      <alignment horizontal="right" vertical="center"/>
    </xf>
    <xf numFmtId="4" fontId="43" fillId="54" borderId="73" applyNumberFormat="0" applyProtection="0">
      <alignment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2" fillId="0" borderId="0"/>
    <xf numFmtId="0" fontId="4" fillId="0" borderId="0"/>
    <xf numFmtId="0" fontId="130" fillId="0" borderId="85" applyFill="0" applyBorder="0" applyProtection="0">
      <alignment horizontal="left" vertical="top"/>
    </xf>
    <xf numFmtId="0" fontId="56" fillId="32" borderId="0" applyNumberFormat="0" applyBorder="0" applyAlignment="0" applyProtection="0"/>
    <xf numFmtId="0" fontId="4" fillId="84" borderId="73" applyNumberFormat="0" applyProtection="0">
      <alignment horizontal="left" vertical="center" indent="1"/>
    </xf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3" fillId="0" borderId="0"/>
    <xf numFmtId="0" fontId="2" fillId="0" borderId="0"/>
    <xf numFmtId="0" fontId="25" fillId="80" borderId="0"/>
    <xf numFmtId="0" fontId="25" fillId="8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7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73" borderId="80"/>
    <xf numFmtId="43" fontId="4" fillId="0" borderId="0" applyFont="0" applyFill="0" applyBorder="0" applyAlignment="0" applyProtection="0"/>
    <xf numFmtId="0" fontId="4" fillId="0" borderId="0"/>
    <xf numFmtId="0" fontId="4" fillId="106" borderId="73" applyNumberFormat="0" applyProtection="0">
      <alignment horizontal="left" vertical="center" indent="1"/>
    </xf>
    <xf numFmtId="0" fontId="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77" borderId="53" applyNumberFormat="0" applyAlignment="0" applyProtection="0"/>
    <xf numFmtId="0" fontId="62" fillId="77" borderId="53" applyNumberFormat="0" applyAlignment="0" applyProtection="0"/>
    <xf numFmtId="44" fontId="2" fillId="0" borderId="0" applyFont="0" applyFill="0" applyBorder="0" applyAlignment="0" applyProtection="0"/>
    <xf numFmtId="4" fontId="91" fillId="101" borderId="77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5" fillId="101" borderId="77" applyNumberFormat="0" applyProtection="0">
      <alignment horizontal="right" vertical="center"/>
    </xf>
    <xf numFmtId="4" fontId="38" fillId="54" borderId="7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5" fillId="72" borderId="77" applyNumberFormat="0" applyProtection="0">
      <alignment vertical="center"/>
    </xf>
    <xf numFmtId="0" fontId="25" fillId="73" borderId="80"/>
    <xf numFmtId="0" fontId="4" fillId="0" borderId="0"/>
    <xf numFmtId="0" fontId="25" fillId="107" borderId="28" applyNumberFormat="0" applyProtection="0">
      <alignment horizontal="left" vertical="center" indent="1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149" fillId="125" borderId="54" applyBorder="0" applyProtection="0">
      <alignment horizontal="centerContinuous" vertical="center"/>
    </xf>
    <xf numFmtId="0" fontId="4" fillId="55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0" borderId="0"/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56" fillId="28" borderId="0" applyNumberFormat="0" applyBorder="0" applyAlignment="0" applyProtection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80" borderId="0"/>
    <xf numFmtId="0" fontId="139" fillId="0" borderId="66">
      <alignment horizontal="right"/>
    </xf>
    <xf numFmtId="0" fontId="139" fillId="0" borderId="66">
      <alignment horizontal="left"/>
    </xf>
    <xf numFmtId="0" fontId="84" fillId="0" borderId="66">
      <alignment horizontal="center"/>
    </xf>
    <xf numFmtId="9" fontId="4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4" fontId="86" fillId="72" borderId="80" applyNumberFormat="0" applyProtection="0">
      <alignment vertical="center"/>
    </xf>
    <xf numFmtId="4" fontId="36" fillId="65" borderId="56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195" fontId="148" fillId="0" borderId="75" applyBorder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0" fontId="139" fillId="0" borderId="66">
      <alignment horizontal="right"/>
    </xf>
    <xf numFmtId="0" fontId="4" fillId="0" borderId="0"/>
    <xf numFmtId="4" fontId="48" fillId="68" borderId="79" applyNumberFormat="0" applyProtection="0">
      <alignment horizontal="left" vertical="center" indent="1"/>
    </xf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4" fontId="91" fillId="100" borderId="73" applyNumberFormat="0" applyProtection="0">
      <alignment horizontal="right" vertical="center"/>
    </xf>
    <xf numFmtId="4" fontId="92" fillId="70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73" fillId="49" borderId="28" applyNumberFormat="0" applyAlignment="0" applyProtection="0"/>
    <xf numFmtId="4" fontId="25" fillId="83" borderId="28" applyNumberFormat="0" applyProtection="0">
      <alignment horizontal="left" vertical="center" indent="1"/>
    </xf>
    <xf numFmtId="49" fontId="95" fillId="110" borderId="37"/>
    <xf numFmtId="0" fontId="4" fillId="69" borderId="77" applyNumberFormat="0" applyProtection="0">
      <alignment horizontal="left" vertical="center" indent="1"/>
    </xf>
    <xf numFmtId="0" fontId="93" fillId="67" borderId="37">
      <protection locked="0"/>
    </xf>
    <xf numFmtId="0" fontId="25" fillId="102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4" fontId="38" fillId="69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6" fillId="65" borderId="56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4" fontId="43" fillId="103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0" fontId="25" fillId="104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38" fillId="63" borderId="77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0" fontId="73" fillId="49" borderId="28" applyNumberFormat="0" applyAlignment="0" applyProtection="0"/>
    <xf numFmtId="4" fontId="25" fillId="86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0" fontId="93" fillId="67" borderId="37">
      <protection locked="0"/>
    </xf>
    <xf numFmtId="0" fontId="60" fillId="79" borderId="28" applyNumberFormat="0" applyAlignment="0" applyProtection="0"/>
    <xf numFmtId="0" fontId="25" fillId="48" borderId="28" applyNumberFormat="0" applyFon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25" fillId="73" borderId="80"/>
    <xf numFmtId="0" fontId="25" fillId="73" borderId="80"/>
    <xf numFmtId="4" fontId="48" fillId="68" borderId="79" applyNumberFormat="0" applyProtection="0">
      <alignment horizontal="left" vertical="center" indent="1"/>
    </xf>
    <xf numFmtId="4" fontId="86" fillId="67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72" borderId="73" applyNumberFormat="0" applyProtection="0">
      <alignment vertical="center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5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1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25" fillId="86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25" fillId="73" borderId="80"/>
    <xf numFmtId="4" fontId="25" fillId="92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9" fontId="95" fillId="110" borderId="37"/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149" fillId="125" borderId="75" applyBorder="0" applyProtection="0">
      <alignment horizontal="centerContinuous" vertical="center"/>
    </xf>
    <xf numFmtId="0" fontId="25" fillId="101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8" fillId="57" borderId="77" applyNumberFormat="0" applyProtection="0">
      <alignment horizontal="right" vertical="center"/>
    </xf>
    <xf numFmtId="4" fontId="36" fillId="54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125" fillId="120" borderId="53" applyNumberFormat="0" applyAlignment="0" applyProtection="0"/>
    <xf numFmtId="4" fontId="43" fillId="72" borderId="77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25" fillId="48" borderId="28" applyNumberFormat="0" applyFont="0" applyAlignment="0" applyProtection="0"/>
    <xf numFmtId="4" fontId="88" fillId="108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3" fontId="2" fillId="0" borderId="0" applyFont="0" applyFill="0" applyBorder="0" applyAlignment="0" applyProtection="0"/>
    <xf numFmtId="0" fontId="93" fillId="67" borderId="37">
      <protection locked="0"/>
    </xf>
    <xf numFmtId="0" fontId="25" fillId="73" borderId="80"/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88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86" fillId="72" borderId="80" applyNumberFormat="0" applyProtection="0">
      <alignment vertical="center"/>
    </xf>
    <xf numFmtId="4" fontId="85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43" fillId="72" borderId="77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3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4" fillId="84" borderId="73" applyNumberFormat="0" applyProtection="0">
      <alignment horizontal="left" vertical="center" indent="1"/>
    </xf>
    <xf numFmtId="0" fontId="35" fillId="0" borderId="38" applyNumberFormat="0" applyFill="0" applyAlignment="0" applyProtection="0"/>
    <xf numFmtId="4" fontId="38" fillId="57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90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57" borderId="73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73" fillId="49" borderId="28" applyNumberFormat="0" applyAlignment="0" applyProtection="0"/>
    <xf numFmtId="0" fontId="73" fillId="49" borderId="28" applyNumberFormat="0" applyAlignment="0" applyProtection="0"/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8" fillId="56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62" fillId="77" borderId="53" applyNumberFormat="0" applyAlignment="0" applyProtection="0"/>
    <xf numFmtId="0" fontId="62" fillId="77" borderId="53" applyNumberFormat="0" applyAlignment="0" applyProtection="0"/>
    <xf numFmtId="4" fontId="37" fillId="54" borderId="77" applyNumberFormat="0" applyProtection="0">
      <alignment vertical="center"/>
    </xf>
    <xf numFmtId="0" fontId="60" fillId="79" borderId="28" applyNumberFormat="0" applyAlignment="0" applyProtection="0"/>
    <xf numFmtId="0" fontId="60" fillId="79" borderId="28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3" fillId="57" borderId="73" applyNumberFormat="0" applyProtection="0">
      <alignment horizontal="right" vertical="center"/>
    </xf>
    <xf numFmtId="0" fontId="25" fillId="48" borderId="28" applyNumberFormat="0" applyFont="0" applyAlignment="0" applyProtection="0"/>
    <xf numFmtId="4" fontId="36" fillId="54" borderId="77" applyNumberFormat="0" applyProtection="0">
      <alignment vertical="center"/>
    </xf>
    <xf numFmtId="4" fontId="25" fillId="82" borderId="28" applyNumberFormat="0" applyProtection="0">
      <alignment vertical="center"/>
    </xf>
    <xf numFmtId="4" fontId="86" fillId="54" borderId="28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83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43" fillId="88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25" fillId="70" borderId="57" applyNumberFormat="0">
      <protection locked="0"/>
    </xf>
    <xf numFmtId="0" fontId="4" fillId="55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38" fillId="69" borderId="77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4" fontId="43" fillId="102" borderId="77" applyNumberFormat="0" applyProtection="0">
      <alignment horizontal="left" vertical="center" indent="1"/>
    </xf>
    <xf numFmtId="0" fontId="25" fillId="73" borderId="80"/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43" fillId="72" borderId="73" applyNumberFormat="0" applyProtection="0">
      <alignment vertical="center"/>
    </xf>
    <xf numFmtId="4" fontId="85" fillId="72" borderId="73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73" borderId="80"/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6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8" fontId="4" fillId="0" borderId="71" applyFont="0" applyFill="0" applyBorder="0" applyProtection="0">
      <alignment horizontal="right"/>
    </xf>
    <xf numFmtId="0" fontId="4" fillId="84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9" fillId="82" borderId="77" applyNumberFormat="0" applyProtection="0">
      <alignment vertical="center"/>
    </xf>
    <xf numFmtId="4" fontId="25" fillId="9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36" fillId="54" borderId="77" applyNumberFormat="0" applyProtection="0">
      <alignment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3" borderId="80"/>
    <xf numFmtId="0" fontId="4" fillId="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43" fillId="63" borderId="73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4" fontId="38" fillId="69" borderId="77" applyNumberFormat="0" applyProtection="0">
      <alignment vertical="center"/>
    </xf>
    <xf numFmtId="0" fontId="25" fillId="102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124" fillId="104" borderId="82" applyNumberFormat="0" applyAlignment="0" applyProtection="0"/>
    <xf numFmtId="4" fontId="43" fillId="101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84" fillId="0" borderId="9">
      <alignment horizontal="center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54" borderId="73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73" borderId="80"/>
    <xf numFmtId="0" fontId="25" fillId="105" borderId="28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4" fillId="71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38" fillId="62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92" fillId="70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91" fillId="100" borderId="73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9" fillId="99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0" borderId="36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25" fillId="73" borderId="80"/>
    <xf numFmtId="4" fontId="43" fillId="97" borderId="73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73" borderId="80"/>
    <xf numFmtId="4" fontId="43" fillId="96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3" borderId="80"/>
    <xf numFmtId="4" fontId="43" fillId="97" borderId="73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25" fillId="73" borderId="80"/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25" fillId="73" borderId="80"/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48" fillId="68" borderId="79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35" fillId="0" borderId="38" applyNumberFormat="0" applyFill="0" applyAlignment="0" applyProtection="0"/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9" fontId="95" fillId="110" borderId="37"/>
    <xf numFmtId="0" fontId="4" fillId="55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0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62" fillId="77" borderId="53" applyNumberFormat="0" applyAlignment="0" applyProtection="0"/>
    <xf numFmtId="0" fontId="62" fillId="77" borderId="53" applyNumberFormat="0" applyAlignment="0" applyProtection="0"/>
    <xf numFmtId="0" fontId="39" fillId="54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39" fillId="98" borderId="56" applyNumberFormat="0" applyProtection="0">
      <alignment horizontal="left" vertical="center" indent="1"/>
    </xf>
    <xf numFmtId="0" fontId="149" fillId="125" borderId="75" applyBorder="0" applyProtection="0">
      <alignment horizontal="centerContinuous" vertical="center"/>
    </xf>
    <xf numFmtId="0" fontId="25" fillId="102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39" fillId="99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94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38" fillId="64" borderId="77" applyNumberFormat="0" applyProtection="0">
      <alignment horizontal="right" vertical="center"/>
    </xf>
    <xf numFmtId="4" fontId="37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3" borderId="80"/>
    <xf numFmtId="0" fontId="25" fillId="107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25" fillId="104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4" fontId="43" fillId="93" borderId="73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7" fillId="54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4" fillId="0" borderId="73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49" fontId="95" fillId="110" borderId="37"/>
    <xf numFmtId="4" fontId="25" fillId="83" borderId="28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25" fillId="73" borderId="80"/>
    <xf numFmtId="0" fontId="25" fillId="70" borderId="57" applyNumberFormat="0">
      <protection locked="0"/>
    </xf>
    <xf numFmtId="4" fontId="25" fillId="102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10" fontId="25" fillId="72" borderId="80" applyNumberFormat="0" applyBorder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200" fontId="127" fillId="0" borderId="45">
      <alignment horizontal="right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6" fillId="54" borderId="77" applyNumberFormat="0" applyProtection="0">
      <alignment vertical="center"/>
    </xf>
    <xf numFmtId="0" fontId="73" fillId="49" borderId="28" applyNumberFormat="0" applyAlignment="0" applyProtection="0"/>
    <xf numFmtId="4" fontId="39" fillId="54" borderId="77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4" fontId="43" fillId="72" borderId="73" applyNumberFormat="0" applyProtection="0">
      <alignment vertical="center"/>
    </xf>
    <xf numFmtId="4" fontId="43" fillId="102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66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25" fillId="73" borderId="80"/>
    <xf numFmtId="4" fontId="38" fillId="62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0" fontId="25" fillId="107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49" fillId="69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43" fillId="56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4" fillId="69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0" fontId="25" fillId="73" borderId="80"/>
    <xf numFmtId="4" fontId="25" fillId="90" borderId="28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73" borderId="80"/>
    <xf numFmtId="4" fontId="25" fillId="0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25" fillId="70" borderId="57" applyNumberFormat="0">
      <protection locked="0"/>
    </xf>
    <xf numFmtId="4" fontId="25" fillId="83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195" fontId="148" fillId="0" borderId="54" applyBorder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149" fillId="125" borderId="54" applyBorder="0" applyProtection="0">
      <alignment horizontal="centerContinuous" vertical="center"/>
    </xf>
    <xf numFmtId="0" fontId="130" fillId="0" borderId="47" applyFill="0" applyBorder="0" applyProtection="0">
      <alignment horizontal="left" vertical="top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0" fontId="4" fillId="68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25" fillId="85" borderId="28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90" fillId="109" borderId="35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81" fillId="79" borderId="73" applyNumberFormat="0" applyAlignment="0" applyProtection="0"/>
    <xf numFmtId="4" fontId="25" fillId="96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35" fillId="0" borderId="38" applyNumberFormat="0" applyFill="0" applyAlignment="0" applyProtection="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139" fillId="0" borderId="9">
      <alignment horizontal="right"/>
    </xf>
    <xf numFmtId="0" fontId="139" fillId="0" borderId="9">
      <alignment horizontal="left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84" fillId="0" borderId="9">
      <alignment horizontal="center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43" fillId="9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4" fillId="68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25" fillId="107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0" fontId="139" fillId="0" borderId="9">
      <alignment horizontal="right"/>
    </xf>
    <xf numFmtId="4" fontId="38" fillId="64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61" borderId="73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93" fillId="67" borderId="37">
      <protection locked="0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200" fontId="127" fillId="0" borderId="45">
      <alignment horizontal="right"/>
    </xf>
    <xf numFmtId="0" fontId="43" fillId="68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58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9" fontId="95" fillId="110" borderId="37"/>
    <xf numFmtId="0" fontId="4" fillId="68" borderId="77" applyNumberFormat="0" applyProtection="0">
      <alignment horizontal="left" vertical="top" indent="1"/>
    </xf>
    <xf numFmtId="0" fontId="25" fillId="73" borderId="80"/>
    <xf numFmtId="4" fontId="43" fillId="85" borderId="77" applyNumberFormat="0" applyProtection="0">
      <alignment horizontal="right" vertical="center"/>
    </xf>
    <xf numFmtId="4" fontId="38" fillId="69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91" fillId="100" borderId="73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25" fillId="70" borderId="57" applyNumberFormat="0">
      <protection locked="0"/>
    </xf>
    <xf numFmtId="4" fontId="25" fillId="83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" fillId="0" borderId="0"/>
    <xf numFmtId="4" fontId="43" fillId="72" borderId="73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81" fillId="79" borderId="73" applyNumberFormat="0" applyAlignment="0" applyProtection="0"/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94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43" fillId="96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73" fillId="49" borderId="28" applyNumberFormat="0" applyAlignment="0" applyProtection="0"/>
    <xf numFmtId="4" fontId="43" fillId="103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49" fontId="95" fillId="110" borderId="37"/>
    <xf numFmtId="0" fontId="25" fillId="48" borderId="28" applyNumberFormat="0" applyFont="0" applyAlignment="0" applyProtection="0"/>
    <xf numFmtId="4" fontId="43" fillId="54" borderId="73" applyNumberFormat="0" applyProtection="0">
      <alignment vertical="center"/>
    </xf>
    <xf numFmtId="0" fontId="35" fillId="0" borderId="38" applyNumberFormat="0" applyFill="0" applyAlignment="0" applyProtection="0"/>
    <xf numFmtId="4" fontId="43" fillId="72" borderId="77" applyNumberFormat="0" applyProtection="0">
      <alignment vertical="center"/>
    </xf>
    <xf numFmtId="4" fontId="36" fillId="66" borderId="79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0" fontId="25" fillId="107" borderId="28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43" fillId="58" borderId="73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195" fontId="148" fillId="0" borderId="75" applyBorder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4" fontId="116" fillId="54" borderId="77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25" fillId="48" borderId="28" applyNumberFormat="0" applyFont="0" applyAlignment="0" applyProtection="0"/>
    <xf numFmtId="0" fontId="25" fillId="102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124" fillId="104" borderId="82" applyNumberFormat="0" applyAlignment="0" applyProtection="0"/>
    <xf numFmtId="4" fontId="116" fillId="54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10" fontId="25" fillId="72" borderId="80" applyNumberFormat="0" applyBorder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87" fillId="82" borderId="77" applyNumberFormat="0" applyProtection="0">
      <alignment horizontal="left" vertical="top" indent="1"/>
    </xf>
    <xf numFmtId="200" fontId="127" fillId="0" borderId="45">
      <alignment horizontal="right"/>
    </xf>
    <xf numFmtId="4" fontId="25" fillId="83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63" borderId="73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85" fillId="72" borderId="73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73" borderId="80"/>
    <xf numFmtId="0" fontId="25" fillId="48" borderId="28" applyNumberFormat="0" applyFont="0" applyAlignment="0" applyProtection="0"/>
    <xf numFmtId="4" fontId="25" fillId="82" borderId="28" applyNumberFormat="0" applyProtection="0">
      <alignment vertical="center"/>
    </xf>
    <xf numFmtId="4" fontId="25" fillId="88" borderId="35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55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38" fillId="56" borderId="77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89" borderId="28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horizontal="left" vertical="center" indent="1"/>
    </xf>
    <xf numFmtId="0" fontId="73" fillId="49" borderId="28" applyNumberFormat="0" applyAlignment="0" applyProtection="0"/>
    <xf numFmtId="4" fontId="38" fillId="56" borderId="77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0" fontId="93" fillId="67" borderId="37">
      <protection locked="0"/>
    </xf>
    <xf numFmtId="4" fontId="25" fillId="95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88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center" indent="1"/>
    </xf>
    <xf numFmtId="4" fontId="43" fillId="54" borderId="73" applyNumberFormat="0" applyProtection="0">
      <alignment vertical="center"/>
    </xf>
    <xf numFmtId="4" fontId="48" fillId="68" borderId="79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6" fillId="54" borderId="28" applyNumberFormat="0" applyProtection="0">
      <alignment vertical="center"/>
    </xf>
    <xf numFmtId="4" fontId="25" fillId="102" borderId="28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25" fillId="70" borderId="57" applyNumberFormat="0">
      <protection locked="0"/>
    </xf>
    <xf numFmtId="4" fontId="88" fillId="108" borderId="77" applyNumberFormat="0" applyProtection="0">
      <alignment vertical="center"/>
    </xf>
    <xf numFmtId="4" fontId="25" fillId="86" borderId="28" applyNumberFormat="0" applyProtection="0">
      <alignment horizontal="right" vertical="center"/>
    </xf>
    <xf numFmtId="0" fontId="130" fillId="0" borderId="47" applyFill="0" applyBorder="0" applyProtection="0">
      <alignment horizontal="left" vertical="top"/>
    </xf>
    <xf numFmtId="4" fontId="43" fillId="58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4" fontId="25" fillId="85" borderId="28" applyNumberFormat="0" applyProtection="0">
      <alignment horizontal="right" vertical="center"/>
    </xf>
    <xf numFmtId="4" fontId="90" fillId="109" borderId="35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43" fillId="87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38" fillId="63" borderId="77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25" fillId="71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43" fillId="90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9" fontId="2" fillId="0" borderId="0" applyFont="0" applyFill="0" applyBorder="0" applyAlignment="0" applyProtection="0"/>
    <xf numFmtId="4" fontId="48" fillId="68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0" fontId="25" fillId="10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0" fontId="43" fillId="108" borderId="83" applyNumberFormat="0" applyFont="0" applyAlignment="0" applyProtection="0"/>
    <xf numFmtId="0" fontId="4" fillId="66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91" fillId="100" borderId="73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36" fillId="54" borderId="77" applyNumberFormat="0" applyProtection="0">
      <alignment vertical="center"/>
    </xf>
    <xf numFmtId="4" fontId="43" fillId="0" borderId="77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8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9" fillId="99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54" borderId="73" applyNumberFormat="0" applyProtection="0">
      <alignment vertical="center"/>
    </xf>
    <xf numFmtId="0" fontId="60" fillId="79" borderId="28" applyNumberFormat="0" applyAlignment="0" applyProtection="0"/>
    <xf numFmtId="4" fontId="25" fillId="102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25" fillId="73" borderId="80"/>
    <xf numFmtId="4" fontId="25" fillId="82" borderId="28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38" fillId="69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6" fillId="65" borderId="56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54" borderId="73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70" borderId="57" applyNumberFormat="0">
      <protection locked="0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91" fillId="100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0" fontId="149" fillId="125" borderId="54" applyBorder="0" applyProtection="0">
      <alignment horizontal="centerContinuous" vertical="center"/>
    </xf>
    <xf numFmtId="195" fontId="148" fillId="0" borderId="54" applyBorder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43" fillId="91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43" fillId="64" borderId="73" applyNumberFormat="0" applyProtection="0">
      <alignment horizontal="right" vertical="center"/>
    </xf>
    <xf numFmtId="4" fontId="88" fillId="104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60" fillId="79" borderId="28" applyNumberFormat="0" applyAlignment="0" applyProtection="0"/>
    <xf numFmtId="0" fontId="25" fillId="102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6" fillId="66" borderId="79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90" fillId="109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48" fillId="68" borderId="79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25" fillId="73" borderId="80"/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0" fontId="87" fillId="82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8" fillId="54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4" fontId="25" fillId="85" borderId="28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60" fillId="79" borderId="28" applyNumberFormat="0" applyAlignment="0" applyProtection="0"/>
    <xf numFmtId="0" fontId="4" fillId="55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38" fillId="69" borderId="77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81" fillId="79" borderId="73" applyNumberFormat="0" applyAlignment="0" applyProtection="0"/>
    <xf numFmtId="4" fontId="43" fillId="54" borderId="73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5" fillId="54" borderId="73" applyNumberFormat="0" applyProtection="0">
      <alignment vertical="center"/>
    </xf>
    <xf numFmtId="4" fontId="37" fillId="54" borderId="77" applyNumberFormat="0" applyProtection="0">
      <alignment vertical="center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8" fillId="56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39" fillId="98" borderId="56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200" fontId="127" fillId="0" borderId="45">
      <alignment horizontal="right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86" fillId="72" borderId="80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93" fillId="67" borderId="37">
      <protection locked="0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72" borderId="73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0" fontId="15" fillId="71" borderId="78" applyBorder="0"/>
    <xf numFmtId="4" fontId="44" fillId="69" borderId="77" applyNumberFormat="0" applyProtection="0">
      <alignment vertical="center"/>
    </xf>
    <xf numFmtId="4" fontId="25" fillId="101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4" fontId="38" fillId="60" borderId="77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25" fillId="73" borderId="80"/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25" fillId="95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36" fillId="65" borderId="56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38" fillId="5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25" fillId="70" borderId="57" applyNumberFormat="0">
      <protection locked="0"/>
    </xf>
    <xf numFmtId="0" fontId="4" fillId="84" borderId="73" applyNumberFormat="0" applyProtection="0">
      <alignment horizontal="left" vertical="center" indent="1"/>
    </xf>
    <xf numFmtId="0" fontId="124" fillId="104" borderId="82" applyNumberFormat="0" applyAlignment="0" applyProtection="0"/>
    <xf numFmtId="4" fontId="25" fillId="95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81" fillId="79" borderId="73" applyNumberFormat="0" applyAlignment="0" applyProtection="0"/>
    <xf numFmtId="4" fontId="25" fillId="88" borderId="35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143" fillId="104" borderId="73" applyNumberFormat="0" applyAlignment="0" applyProtection="0"/>
    <xf numFmtId="4" fontId="43" fillId="0" borderId="73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195" fontId="148" fillId="0" borderId="75" applyBorder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200" fontId="127" fillId="0" borderId="45">
      <alignment horizontal="right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8" fontId="4" fillId="0" borderId="71" applyFont="0" applyFill="0" applyBorder="0" applyProtection="0">
      <alignment horizontal="right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3" fillId="108" borderId="83" applyNumberFormat="0" applyFont="0" applyAlignment="0" applyProtection="0"/>
    <xf numFmtId="4" fontId="43" fillId="72" borderId="77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15" fillId="71" borderId="78" applyBorder="0"/>
    <xf numFmtId="4" fontId="38" fillId="6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38" fillId="61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38" fillId="58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0" fontId="88" fillId="108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4" fillId="69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49" fillId="69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0" fontId="52" fillId="0" borderId="58" applyNumberFormat="0" applyFill="0" applyProtection="0">
      <alignment horizontal="center"/>
    </xf>
    <xf numFmtId="4" fontId="25" fillId="90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25" fillId="70" borderId="57" applyNumberFormat="0">
      <protection locked="0"/>
    </xf>
    <xf numFmtId="4" fontId="43" fillId="103" borderId="73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0" fontId="71" fillId="0" borderId="32" applyNumberFormat="0" applyFill="0" applyAlignment="0" applyProtection="0"/>
    <xf numFmtId="4" fontId="43" fillId="54" borderId="73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39" fillId="54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86" fillId="67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81" fillId="79" borderId="73" applyNumberFormat="0" applyAlignment="0" applyProtection="0"/>
    <xf numFmtId="4" fontId="39" fillId="82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0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0" fontId="130" fillId="0" borderId="47" applyFill="0" applyBorder="0" applyProtection="0">
      <alignment horizontal="left" vertical="top"/>
    </xf>
    <xf numFmtId="3" fontId="127" fillId="0" borderId="76"/>
    <xf numFmtId="0" fontId="25" fillId="10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138" fillId="116" borderId="82" applyNumberFormat="0" applyAlignment="0" applyProtection="0"/>
    <xf numFmtId="4" fontId="92" fillId="70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100" borderId="36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0" fontId="93" fillId="67" borderId="37">
      <protection locked="0"/>
    </xf>
    <xf numFmtId="49" fontId="95" fillId="110" borderId="37"/>
    <xf numFmtId="0" fontId="43" fillId="68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38" fillId="61" borderId="77" applyNumberFormat="0" applyProtection="0">
      <alignment horizontal="right" vertical="center"/>
    </xf>
    <xf numFmtId="0" fontId="25" fillId="73" borderId="80"/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73" borderId="80"/>
    <xf numFmtId="4" fontId="116" fillId="54" borderId="77" applyNumberFormat="0" applyProtection="0">
      <alignment vertical="center"/>
    </xf>
    <xf numFmtId="4" fontId="43" fillId="94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60" fillId="79" borderId="28" applyNumberFormat="0" applyAlignment="0" applyProtection="0"/>
    <xf numFmtId="4" fontId="25" fillId="9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70" borderId="57" applyNumberFormat="0">
      <protection locked="0"/>
    </xf>
    <xf numFmtId="4" fontId="36" fillId="66" borderId="79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25" fillId="73" borderId="80"/>
    <xf numFmtId="4" fontId="25" fillId="102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71" fillId="0" borderId="32" applyNumberFormat="0" applyFill="0" applyAlignment="0" applyProtection="0"/>
    <xf numFmtId="4" fontId="43" fillId="103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9" fillId="99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39" fillId="98" borderId="56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64" borderId="73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" fillId="0" borderId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38" fillId="5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25" fillId="73" borderId="80"/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25" fillId="86" borderId="28" applyNumberFormat="0" applyProtection="0">
      <alignment horizontal="right" vertical="center"/>
    </xf>
    <xf numFmtId="0" fontId="25" fillId="48" borderId="28" applyNumberFormat="0" applyFont="0" applyAlignment="0" applyProtection="0"/>
    <xf numFmtId="4" fontId="43" fillId="85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130" fillId="0" borderId="47" applyFill="0" applyBorder="0" applyProtection="0">
      <alignment horizontal="left" vertical="top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43" fillId="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5" fillId="48" borderId="28" applyNumberFormat="0" applyFont="0" applyAlignment="0" applyProtection="0"/>
    <xf numFmtId="4" fontId="25" fillId="5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35" fillId="0" borderId="38" applyNumberFormat="0" applyFill="0" applyAlignment="0" applyProtection="0"/>
    <xf numFmtId="0" fontId="25" fillId="10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89" borderId="28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25" fillId="73" borderId="80"/>
    <xf numFmtId="0" fontId="43" fillId="68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25" fillId="10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38" fillId="57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92" fillId="70" borderId="28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25" fillId="73" borderId="80"/>
    <xf numFmtId="0" fontId="25" fillId="101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97" borderId="73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25" fillId="73" borderId="80"/>
    <xf numFmtId="4" fontId="25" fillId="101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38" fillId="56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200" fontId="127" fillId="0" borderId="45">
      <alignment horizontal="right"/>
    </xf>
    <xf numFmtId="4" fontId="43" fillId="88" borderId="77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71" fillId="0" borderId="32" applyNumberFormat="0" applyFill="0" applyAlignment="0" applyProtection="0"/>
    <xf numFmtId="0" fontId="43" fillId="68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85" fillId="100" borderId="73" applyNumberFormat="0" applyProtection="0">
      <alignment horizontal="right" vertical="center"/>
    </xf>
    <xf numFmtId="0" fontId="25" fillId="70" borderId="57" applyNumberFormat="0">
      <protection locked="0"/>
    </xf>
    <xf numFmtId="0" fontId="25" fillId="101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73" fillId="49" borderId="28" applyNumberFormat="0" applyAlignment="0" applyProtection="0"/>
    <xf numFmtId="0" fontId="25" fillId="70" borderId="57" applyNumberFormat="0">
      <protection locked="0"/>
    </xf>
    <xf numFmtId="0" fontId="25" fillId="70" borderId="57" applyNumberFormat="0">
      <protection locked="0"/>
    </xf>
    <xf numFmtId="0" fontId="60" fillId="79" borderId="28" applyNumberFormat="0" applyAlignment="0" applyProtection="0"/>
    <xf numFmtId="0" fontId="25" fillId="104" borderId="28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0" fontId="43" fillId="108" borderId="83" applyNumberFormat="0" applyFont="0" applyAlignment="0" applyProtection="0"/>
    <xf numFmtId="0" fontId="88" fillId="102" borderId="77" applyNumberFormat="0" applyProtection="0">
      <alignment horizontal="left" vertical="top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44" fillId="69" borderId="77" applyNumberFormat="0" applyProtection="0">
      <alignment vertical="center"/>
    </xf>
    <xf numFmtId="4" fontId="49" fillId="69" borderId="77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86" fillId="67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0" fontId="25" fillId="48" borderId="28" applyNumberFormat="0" applyFont="0" applyAlignment="0" applyProtection="0"/>
    <xf numFmtId="4" fontId="43" fillId="88" borderId="77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85" fillId="100" borderId="73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0" borderId="57" applyNumberFormat="0">
      <protection locked="0"/>
    </xf>
    <xf numFmtId="0" fontId="4" fillId="55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0" fontId="25" fillId="70" borderId="57" applyNumberFormat="0">
      <protection locked="0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87" fillId="82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43" fillId="72" borderId="73" applyNumberFormat="0" applyProtection="0">
      <alignment vertical="center"/>
    </xf>
    <xf numFmtId="4" fontId="39" fillId="82" borderId="77" applyNumberFormat="0" applyProtection="0">
      <alignment vertical="center"/>
    </xf>
    <xf numFmtId="0" fontId="15" fillId="71" borderId="78" applyBorder="0"/>
    <xf numFmtId="0" fontId="25" fillId="107" borderId="28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8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4" fontId="2" fillId="0" borderId="0" applyFont="0" applyFill="0" applyBorder="0" applyAlignment="0" applyProtection="0"/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86" fillId="72" borderId="80" applyNumberFormat="0" applyProtection="0">
      <alignment vertical="center"/>
    </xf>
    <xf numFmtId="4" fontId="36" fillId="66" borderId="77" applyNumberFormat="0" applyProtection="0">
      <alignment horizontal="left" vertical="center" indent="1"/>
    </xf>
    <xf numFmtId="4" fontId="38" fillId="6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38" fillId="64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38" fillId="69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25" fillId="73" borderId="8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0" fontId="138" fillId="116" borderId="82" applyNumberFormat="0" applyAlignment="0" applyProtection="0"/>
    <xf numFmtId="4" fontId="25" fillId="94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25" fillId="70" borderId="57" applyNumberFormat="0">
      <protection locked="0"/>
    </xf>
    <xf numFmtId="4" fontId="44" fillId="69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25" fillId="73" borderId="80"/>
    <xf numFmtId="0" fontId="39" fillId="54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" fillId="0" borderId="0"/>
    <xf numFmtId="0" fontId="39" fillId="0" borderId="74" applyNumberFormat="0" applyFill="0" applyAlignment="0" applyProtection="0"/>
    <xf numFmtId="4" fontId="25" fillId="9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25" fillId="48" borderId="28" applyNumberFormat="0" applyFont="0" applyAlignment="0" applyProtection="0"/>
    <xf numFmtId="4" fontId="39" fillId="54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0" fontId="25" fillId="48" borderId="28" applyNumberFormat="0" applyFont="0" applyAlignment="0" applyProtection="0"/>
    <xf numFmtId="4" fontId="25" fillId="54" borderId="28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86" fillId="72" borderId="80" applyNumberFormat="0" applyProtection="0">
      <alignment vertical="center"/>
    </xf>
    <xf numFmtId="4" fontId="43" fillId="72" borderId="73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25" fillId="104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38" fillId="60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37" fillId="54" borderId="77" applyNumberFormat="0" applyProtection="0">
      <alignment vertical="center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0" fontId="88" fillId="102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90" fillId="109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93" fillId="67" borderId="37">
      <protection locked="0"/>
    </xf>
    <xf numFmtId="4" fontId="36" fillId="66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25" fillId="105" borderId="28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48" fillId="68" borderId="79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71" fillId="0" borderId="32" applyNumberFormat="0" applyFill="0" applyAlignment="0" applyProtection="0"/>
    <xf numFmtId="0" fontId="73" fillId="49" borderId="28" applyNumberFormat="0" applyAlignment="0" applyProtection="0"/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9" fillId="54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25" fillId="73" borderId="8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10" fontId="25" fillId="72" borderId="80" applyNumberFormat="0" applyBorder="0" applyAlignment="0" applyProtection="0"/>
    <xf numFmtId="4" fontId="25" fillId="83" borderId="28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103" borderId="73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5" fillId="8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9" fillId="98" borderId="56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43" fillId="97" borderId="73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39" fillId="99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90" fillId="109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62" fillId="77" borderId="53" applyNumberFormat="0" applyAlignment="0" applyProtection="0"/>
    <xf numFmtId="4" fontId="25" fillId="95" borderId="28" applyNumberFormat="0" applyProtection="0">
      <alignment horizontal="right" vertical="center"/>
    </xf>
    <xf numFmtId="0" fontId="62" fillId="77" borderId="53" applyNumberFormat="0" applyAlignment="0" applyProtection="0"/>
    <xf numFmtId="0" fontId="4" fillId="84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4" fontId="25" fillId="83" borderId="28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25" fillId="73" borderId="80"/>
    <xf numFmtId="4" fontId="43" fillId="102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4" fontId="43" fillId="97" borderId="73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0" fontId="62" fillId="77" borderId="53" applyNumberFormat="0" applyAlignment="0" applyProtection="0"/>
    <xf numFmtId="0" fontId="62" fillId="77" borderId="53" applyNumberFormat="0" applyAlignment="0" applyProtection="0"/>
    <xf numFmtId="0" fontId="39" fillId="54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73" borderId="8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52" fillId="0" borderId="58" applyNumberFormat="0" applyFill="0" applyProtection="0">
      <alignment horizontal="center"/>
    </xf>
    <xf numFmtId="4" fontId="43" fillId="10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4" fontId="43" fillId="56" borderId="73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" fillId="68" borderId="77" applyNumberFormat="0" applyProtection="0">
      <alignment horizontal="left" vertical="top" indent="1"/>
    </xf>
    <xf numFmtId="4" fontId="88" fillId="104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38" fillId="69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8" fontId="4" fillId="0" borderId="71" applyFont="0" applyFill="0" applyBorder="0" applyProtection="0">
      <alignment horizontal="right"/>
    </xf>
    <xf numFmtId="0" fontId="125" fillId="120" borderId="53" applyNumberFormat="0" applyAlignment="0" applyProtection="0"/>
    <xf numFmtId="0" fontId="125" fillId="120" borderId="53" applyNumberFormat="0" applyAlignment="0" applyProtection="0"/>
    <xf numFmtId="0" fontId="25" fillId="73" borderId="80"/>
    <xf numFmtId="0" fontId="43" fillId="68" borderId="77" applyNumberFormat="0" applyProtection="0">
      <alignment horizontal="left" vertical="top" indent="1"/>
    </xf>
    <xf numFmtId="0" fontId="25" fillId="73" borderId="80"/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85" fillId="72" borderId="73" applyNumberFormat="0" applyProtection="0">
      <alignment vertical="center"/>
    </xf>
    <xf numFmtId="4" fontId="43" fillId="72" borderId="73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3" applyNumberFormat="0" applyProtection="0">
      <alignment vertical="center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4" fontId="25" fillId="85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10" fontId="25" fillId="72" borderId="80" applyNumberFormat="0" applyBorder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54" borderId="28" applyNumberFormat="0" applyProtection="0">
      <alignment horizontal="left" vertical="center" indent="1"/>
    </xf>
    <xf numFmtId="0" fontId="139" fillId="0" borderId="66">
      <alignment horizontal="right"/>
    </xf>
    <xf numFmtId="0" fontId="139" fillId="0" borderId="66">
      <alignment horizontal="left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200" fontId="127" fillId="0" borderId="45">
      <alignment horizontal="right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86" fillId="54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0" fontId="81" fillId="79" borderId="73" applyNumberFormat="0" applyAlignment="0" applyProtection="0"/>
    <xf numFmtId="0" fontId="81" fillId="79" borderId="73" applyNumberForma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4" fillId="69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2" fillId="0" borderId="0"/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195" fontId="148" fillId="0" borderId="75" applyBorder="0" applyProtection="0">
      <alignment horizontal="right" vertical="center"/>
    </xf>
    <xf numFmtId="0" fontId="84" fillId="0" borderId="66">
      <alignment horizontal="center"/>
    </xf>
    <xf numFmtId="0" fontId="84" fillId="0" borderId="66">
      <alignment horizontal="center"/>
    </xf>
    <xf numFmtId="0" fontId="84" fillId="0" borderId="66">
      <alignment horizont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63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83" fillId="121" borderId="69" applyNumberFormat="0" applyFont="0" applyAlignment="0" applyProtection="0"/>
    <xf numFmtId="4" fontId="25" fillId="98" borderId="35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130" fillId="0" borderId="47" applyFill="0" applyBorder="0" applyProtection="0">
      <alignment horizontal="left" vertical="top"/>
    </xf>
    <xf numFmtId="4" fontId="25" fillId="0" borderId="28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0" fontId="25" fillId="101" borderId="77" applyNumberFormat="0" applyProtection="0">
      <alignment horizontal="left" vertical="top" indent="1"/>
    </xf>
    <xf numFmtId="0" fontId="62" fillId="77" borderId="53" applyNumberFormat="0" applyAlignment="0" applyProtection="0"/>
    <xf numFmtId="0" fontId="25" fillId="101" borderId="77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9" fillId="0" borderId="66">
      <alignment horizontal="right"/>
    </xf>
    <xf numFmtId="4" fontId="91" fillId="101" borderId="77" applyNumberFormat="0" applyProtection="0">
      <alignment horizontal="right" vertical="center"/>
    </xf>
    <xf numFmtId="0" fontId="25" fillId="73" borderId="80"/>
    <xf numFmtId="4" fontId="25" fillId="83" borderId="28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88" fillId="104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73" borderId="80"/>
    <xf numFmtId="4" fontId="91" fillId="101" borderId="77" applyNumberFormat="0" applyProtection="0">
      <alignment horizontal="right" vertical="center"/>
    </xf>
    <xf numFmtId="0" fontId="25" fillId="73" borderId="8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8" fontId="4" fillId="0" borderId="71" applyFont="0" applyFill="0" applyBorder="0" applyProtection="0">
      <alignment horizontal="right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4" fontId="25" fillId="94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97" borderId="73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123" fillId="0" borderId="81" applyFill="0" applyProtection="0">
      <alignment horizontal="right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124" fillId="104" borderId="82" applyNumberFormat="0" applyAlignment="0" applyProtection="0"/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38" fillId="54" borderId="77" applyNumberFormat="0" applyProtection="0">
      <alignment horizontal="left" vertical="center" indent="1"/>
    </xf>
    <xf numFmtId="0" fontId="124" fillId="104" borderId="82" applyNumberFormat="0" applyAlignment="0" applyProtection="0"/>
    <xf numFmtId="0" fontId="43" fillId="72" borderId="77" applyNumberFormat="0" applyProtection="0">
      <alignment horizontal="left" vertical="top" indent="1"/>
    </xf>
    <xf numFmtId="0" fontId="124" fillId="104" borderId="82" applyNumberFormat="0" applyAlignment="0" applyProtection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10" fontId="25" fillId="72" borderId="80" applyNumberFormat="0" applyBorder="0" applyAlignment="0" applyProtection="0"/>
    <xf numFmtId="4" fontId="39" fillId="8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8" fontId="4" fillId="0" borderId="71" applyFont="0" applyFill="0" applyBorder="0" applyProtection="0">
      <alignment horizontal="right"/>
    </xf>
    <xf numFmtId="0" fontId="35" fillId="0" borderId="38" applyNumberFormat="0" applyFill="0" applyAlignment="0" applyProtection="0"/>
    <xf numFmtId="4" fontId="92" fillId="7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85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93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200" fontId="127" fillId="0" borderId="45">
      <alignment horizontal="right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86" fillId="54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38" fillId="58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0" fontId="81" fillId="79" borderId="73" applyNumberFormat="0" applyAlignment="0" applyProtection="0"/>
    <xf numFmtId="0" fontId="81" fillId="79" borderId="73" applyNumberFormat="0" applyAlignment="0" applyProtection="0"/>
    <xf numFmtId="4" fontId="39" fillId="54" borderId="77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2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93" fillId="67" borderId="37">
      <protection locked="0"/>
    </xf>
    <xf numFmtId="49" fontId="95" fillId="110" borderId="37"/>
    <xf numFmtId="0" fontId="130" fillId="0" borderId="47" applyFill="0" applyBorder="0" applyProtection="0">
      <alignment horizontal="left" vertical="top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4" fontId="43" fillId="87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7" applyNumberFormat="0" applyProtection="0">
      <alignment horizontal="right" vertical="center"/>
    </xf>
    <xf numFmtId="0" fontId="88" fillId="102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88" fillId="108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63" borderId="73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43" fillId="5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44" fontId="2" fillId="0" borderId="0" applyFont="0" applyFill="0" applyBorder="0" applyAlignment="0" applyProtection="0"/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200" fontId="127" fillId="0" borderId="45">
      <alignment horizontal="right"/>
    </xf>
    <xf numFmtId="0" fontId="4" fillId="66" borderId="77" applyNumberFormat="0" applyProtection="0">
      <alignment horizontal="left" vertical="center" indent="1"/>
    </xf>
    <xf numFmtId="0" fontId="138" fillId="116" borderId="82" applyNumberForma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3" fontId="2" fillId="0" borderId="0" applyFont="0" applyFill="0" applyBorder="0" applyAlignment="0" applyProtection="0"/>
    <xf numFmtId="0" fontId="130" fillId="0" borderId="47" applyFill="0" applyBorder="0" applyProtection="0">
      <alignment horizontal="left" vertical="top"/>
    </xf>
    <xf numFmtId="4" fontId="43" fillId="92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200" fontId="127" fillId="0" borderId="45">
      <alignment horizontal="right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4" fontId="44" fillId="69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8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130" fillId="0" borderId="47" applyFill="0" applyBorder="0" applyProtection="0">
      <alignment horizontal="left" vertical="top"/>
    </xf>
    <xf numFmtId="0" fontId="39" fillId="0" borderId="74" applyNumberFormat="0" applyFill="0" applyAlignment="0" applyProtection="0"/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9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0" fontId="124" fillId="104" borderId="82" applyNumberFormat="0" applyAlignment="0" applyProtection="0"/>
    <xf numFmtId="0" fontId="4" fillId="66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3" fillId="108" borderId="83" applyNumberFormat="0" applyFont="0" applyAlignment="0" applyProtection="0"/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3" fontId="127" fillId="0" borderId="76"/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30" fillId="0" borderId="47" applyFill="0" applyBorder="0" applyProtection="0">
      <alignment horizontal="left" vertical="top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3" fontId="127" fillId="0" borderId="76"/>
    <xf numFmtId="0" fontId="43" fillId="72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5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139" fillId="0" borderId="66">
      <alignment horizontal="right"/>
    </xf>
    <xf numFmtId="0" fontId="139" fillId="0" borderId="66">
      <alignment horizontal="left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84" fillId="0" borderId="66">
      <alignment horizontal="center"/>
    </xf>
    <xf numFmtId="49" fontId="95" fillId="110" borderId="37"/>
    <xf numFmtId="0" fontId="93" fillId="67" borderId="37">
      <protection locked="0"/>
    </xf>
    <xf numFmtId="0" fontId="4" fillId="55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62" fillId="77" borderId="53" applyNumberFormat="0" applyAlignment="0" applyProtection="0"/>
    <xf numFmtId="4" fontId="85" fillId="72" borderId="77" applyNumberFormat="0" applyProtection="0">
      <alignment vertical="center"/>
    </xf>
    <xf numFmtId="0" fontId="62" fillId="77" borderId="53" applyNumberFormat="0" applyAlignment="0" applyProtection="0"/>
    <xf numFmtId="4" fontId="85" fillId="72" borderId="77" applyNumberFormat="0" applyProtection="0">
      <alignment vertical="center"/>
    </xf>
    <xf numFmtId="4" fontId="43" fillId="102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195" fontId="148" fillId="0" borderId="75" applyBorder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139" fillId="0" borderId="66">
      <alignment horizontal="right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62" fillId="77" borderId="53" applyNumberFormat="0" applyAlignment="0" applyProtection="0"/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4" fontId="43" fillId="102" borderId="77" applyNumberFormat="0" applyProtection="0">
      <alignment horizontal="left" vertical="center" indent="1"/>
    </xf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43" fillId="108" borderId="83" applyNumberFormat="0" applyFont="0" applyAlignment="0" applyProtection="0"/>
    <xf numFmtId="0" fontId="4" fillId="69" borderId="77" applyNumberFormat="0" applyProtection="0">
      <alignment horizontal="left" vertical="top" indent="1"/>
    </xf>
    <xf numFmtId="4" fontId="38" fillId="66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87" fillId="82" borderId="77" applyNumberFormat="0" applyProtection="0">
      <alignment horizontal="left" vertical="top" indent="1"/>
    </xf>
    <xf numFmtId="0" fontId="33" fillId="78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92" fillId="70" borderId="28" applyNumberFormat="0" applyProtection="0">
      <alignment horizontal="right" vertical="center"/>
    </xf>
    <xf numFmtId="0" fontId="56" fillId="32" borderId="0" applyNumberFormat="0" applyBorder="0" applyAlignment="0" applyProtection="0"/>
    <xf numFmtId="0" fontId="33" fillId="77" borderId="0" applyNumberFormat="0" applyBorder="0" applyAlignment="0" applyProtection="0"/>
    <xf numFmtId="4" fontId="91" fillId="100" borderId="73" applyNumberFormat="0" applyProtection="0">
      <alignment horizontal="right" vertical="center"/>
    </xf>
    <xf numFmtId="44" fontId="4" fillId="0" borderId="0" applyFont="0" applyFill="0" applyBorder="0" applyAlignment="0" applyProtection="0"/>
    <xf numFmtId="200" fontId="127" fillId="0" borderId="86">
      <alignment horizontal="right"/>
    </xf>
    <xf numFmtId="44" fontId="4" fillId="0" borderId="0" applyFont="0" applyFill="0" applyBorder="0" applyAlignment="0" applyProtection="0"/>
    <xf numFmtId="4" fontId="25" fillId="102" borderId="35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" fontId="88" fillId="108" borderId="77" applyNumberFormat="0" applyProtection="0">
      <alignment vertical="center"/>
    </xf>
    <xf numFmtId="0" fontId="4" fillId="0" borderId="0"/>
    <xf numFmtId="49" fontId="95" fillId="110" borderId="84"/>
    <xf numFmtId="4" fontId="25" fillId="83" borderId="28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0"/>
    <xf numFmtId="4" fontId="43" fillId="72" borderId="73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85" fillId="100" borderId="73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33" fillId="76" borderId="0" applyNumberFormat="0" applyBorder="0" applyAlignment="0" applyProtection="0"/>
    <xf numFmtId="4" fontId="4" fillId="71" borderId="35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0" fontId="56" fillId="20" borderId="0" applyNumberFormat="0" applyBorder="0" applyAlignment="0" applyProtection="0"/>
    <xf numFmtId="43" fontId="4" fillId="0" borderId="0" applyFont="0" applyFill="0" applyBorder="0" applyAlignment="0" applyProtection="0"/>
    <xf numFmtId="0" fontId="56" fillId="24" borderId="0" applyNumberFormat="0" applyBorder="0" applyAlignment="0" applyProtection="0"/>
    <xf numFmtId="0" fontId="25" fillId="101" borderId="28" applyNumberFormat="0" applyProtection="0">
      <alignment horizontal="left" vertical="center" indent="1"/>
    </xf>
    <xf numFmtId="0" fontId="56" fillId="12" borderId="0" applyNumberFormat="0" applyBorder="0" applyAlignment="0" applyProtection="0"/>
    <xf numFmtId="195" fontId="148" fillId="0" borderId="75" applyBorder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0" fontId="4" fillId="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56" fillId="16" borderId="0" applyNumberFormat="0" applyBorder="0" applyAlignment="0" applyProtection="0"/>
    <xf numFmtId="43" fontId="4" fillId="0" borderId="0" applyFont="0" applyFill="0" applyBorder="0" applyAlignment="0" applyProtection="0"/>
    <xf numFmtId="0" fontId="25" fillId="102" borderId="77" applyNumberFormat="0" applyProtection="0">
      <alignment horizontal="left" vertical="top" inden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75" borderId="0" applyNumberFormat="0" applyBorder="0" applyAlignment="0" applyProtection="0"/>
    <xf numFmtId="4" fontId="88" fillId="104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149" fillId="125" borderId="75" applyBorder="0" applyProtection="0">
      <alignment horizontal="centerContinuous" vertical="center"/>
    </xf>
    <xf numFmtId="195" fontId="148" fillId="0" borderId="75" applyBorder="0" applyProtection="0">
      <alignment horizontal="right" vertical="center"/>
    </xf>
    <xf numFmtId="0" fontId="33" fillId="7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0" fontId="88" fillId="108" borderId="77" applyNumberFormat="0" applyProtection="0">
      <alignment horizontal="left" vertical="top" indent="1"/>
    </xf>
    <xf numFmtId="0" fontId="56" fillId="16" borderId="0" applyNumberFormat="0" applyBorder="0" applyAlignment="0" applyProtection="0"/>
    <xf numFmtId="0" fontId="56" fillId="28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105" borderId="28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0" fontId="33" fillId="38" borderId="0" applyNumberFormat="0" applyBorder="0" applyAlignment="0" applyProtection="0"/>
    <xf numFmtId="44" fontId="1" fillId="0" borderId="0" applyFont="0" applyFill="0" applyBorder="0" applyAlignment="0" applyProtection="0"/>
    <xf numFmtId="0" fontId="56" fillId="20" borderId="0" applyNumberFormat="0" applyBorder="0" applyAlignment="0" applyProtection="0"/>
    <xf numFmtId="0" fontId="4" fillId="84" borderId="73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25" fillId="107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0" borderId="0"/>
    <xf numFmtId="4" fontId="25" fillId="83" borderId="28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83" fillId="121" borderId="10" applyNumberFormat="0" applyFont="0" applyAlignment="0" applyProtection="0"/>
    <xf numFmtId="0" fontId="33" fillId="77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5" fillId="104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85" fillId="72" borderId="73" applyNumberFormat="0" applyProtection="0">
      <alignment vertical="center"/>
    </xf>
    <xf numFmtId="0" fontId="4" fillId="0" borderId="0"/>
    <xf numFmtId="0" fontId="33" fillId="78" borderId="0" applyNumberFormat="0" applyBorder="0" applyAlignment="0" applyProtection="0"/>
    <xf numFmtId="0" fontId="33" fillId="75" borderId="0" applyNumberFormat="0" applyBorder="0" applyAlignment="0" applyProtection="0"/>
    <xf numFmtId="0" fontId="56" fillId="12" borderId="0" applyNumberFormat="0" applyBorder="0" applyAlignment="0" applyProtection="0"/>
    <xf numFmtId="4" fontId="43" fillId="72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0" fontId="33" fillId="76" borderId="0" applyNumberFormat="0" applyBorder="0" applyAlignment="0" applyProtection="0"/>
    <xf numFmtId="0" fontId="25" fillId="107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" fontId="86" fillId="54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56" fillId="24" borderId="0" applyNumberFormat="0" applyBorder="0" applyAlignment="0" applyProtection="0"/>
    <xf numFmtId="44" fontId="4" fillId="0" borderId="0" applyFont="0" applyFill="0" applyBorder="0" applyAlignment="0" applyProtection="0"/>
    <xf numFmtId="4" fontId="4" fillId="71" borderId="35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95" fontId="148" fillId="0" borderId="54" applyBorder="0" applyProtection="0">
      <alignment horizontal="right" vertical="center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3" fillId="74" borderId="0" applyNumberFormat="0" applyBorder="0" applyAlignment="0" applyProtection="0"/>
    <xf numFmtId="0" fontId="33" fillId="38" borderId="0" applyNumberFormat="0" applyBorder="0" applyAlignment="0" applyProtection="0"/>
    <xf numFmtId="0" fontId="4" fillId="0" borderId="0"/>
    <xf numFmtId="4" fontId="86" fillId="67" borderId="28" applyNumberFormat="0" applyProtection="0">
      <alignment horizontal="right" vertical="center"/>
    </xf>
    <xf numFmtId="0" fontId="93" fillId="67" borderId="84">
      <protection locked="0"/>
    </xf>
    <xf numFmtId="4" fontId="25" fillId="102" borderId="28" applyNumberFormat="0" applyProtection="0">
      <alignment horizontal="right" vertical="center"/>
    </xf>
    <xf numFmtId="0" fontId="89" fillId="0" borderId="0"/>
    <xf numFmtId="0" fontId="4" fillId="106" borderId="73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79" borderId="87" applyNumberFormat="0" applyAlignment="0" applyProtection="0"/>
    <xf numFmtId="0" fontId="60" fillId="79" borderId="87" applyNumberFormat="0" applyAlignment="0" applyProtection="0"/>
    <xf numFmtId="0" fontId="73" fillId="49" borderId="87" applyNumberFormat="0" applyAlignment="0" applyProtection="0"/>
    <xf numFmtId="0" fontId="73" fillId="49" borderId="87" applyNumberForma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86" fillId="54" borderId="87" applyNumberFormat="0" applyProtection="0">
      <alignment vertical="center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86" fillId="67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90" fillId="109" borderId="88" applyNumberFormat="0" applyProtection="0">
      <alignment horizontal="left" vertical="center" indent="1"/>
    </xf>
    <xf numFmtId="4" fontId="92" fillId="70" borderId="87" applyNumberFormat="0" applyProtection="0">
      <alignment horizontal="right" vertical="center"/>
    </xf>
    <xf numFmtId="0" fontId="35" fillId="0" borderId="90" applyNumberFormat="0" applyFill="0" applyAlignment="0" applyProtection="0"/>
    <xf numFmtId="0" fontId="35" fillId="0" borderId="90" applyNumberFormat="0" applyFill="0" applyAlignment="0" applyProtection="0"/>
    <xf numFmtId="0" fontId="4" fillId="84" borderId="34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3" fillId="88" borderId="20" applyNumberFormat="0" applyProtection="0">
      <alignment horizontal="right" vertical="center"/>
    </xf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3" fillId="108" borderId="92" applyNumberFormat="0" applyFont="0" applyAlignment="0" applyProtection="0"/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63" borderId="34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43" fillId="54" borderId="34" applyNumberFormat="0" applyProtection="0">
      <alignment vertical="center"/>
    </xf>
    <xf numFmtId="4" fontId="85" fillId="54" borderId="34" applyNumberFormat="0" applyProtection="0">
      <alignment vertical="center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43" fillId="54" borderId="34" applyNumberFormat="0" applyProtection="0">
      <alignment vertical="center"/>
    </xf>
    <xf numFmtId="0" fontId="88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64" borderId="34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7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88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88" fillId="10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43" fillId="72" borderId="20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43" fillId="72" borderId="34" applyNumberFormat="0" applyProtection="0">
      <alignment vertical="center"/>
    </xf>
    <xf numFmtId="4" fontId="38" fillId="62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3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15" fillId="71" borderId="24" applyBorder="0"/>
    <xf numFmtId="4" fontId="38" fillId="69" borderId="20" applyNumberFormat="0" applyProtection="0">
      <alignment vertical="center"/>
    </xf>
    <xf numFmtId="4" fontId="43" fillId="100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99" borderId="34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85" fillId="54" borderId="34" applyNumberFormat="0" applyProtection="0">
      <alignment vertical="center"/>
    </xf>
    <xf numFmtId="4" fontId="43" fillId="54" borderId="34" applyNumberFormat="0" applyProtection="0">
      <alignment vertical="center"/>
    </xf>
    <xf numFmtId="4" fontId="36" fillId="54" borderId="20" applyNumberFormat="0" applyProtection="0">
      <alignment vertical="center"/>
    </xf>
    <xf numFmtId="4" fontId="43" fillId="0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81" fillId="79" borderId="34" applyNumberFormat="0" applyAlignment="0" applyProtection="0"/>
    <xf numFmtId="0" fontId="81" fillId="79" borderId="34" applyNumberFormat="0" applyAlignment="0" applyProtection="0"/>
    <xf numFmtId="4" fontId="38" fillId="64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0" fontId="81" fillId="79" borderId="34" applyNumberFormat="0" applyAlignment="0" applyProtection="0"/>
    <xf numFmtId="4" fontId="39" fillId="82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38" fillId="59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36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91" fillId="100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61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43" fillId="0" borderId="34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9" fontId="95" fillId="110" borderId="84"/>
    <xf numFmtId="0" fontId="4" fillId="0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0" fontId="130" fillId="0" borderId="85" applyFill="0" applyBorder="0" applyProtection="0">
      <alignment horizontal="left" vertical="top"/>
    </xf>
    <xf numFmtId="0" fontId="4" fillId="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15" fillId="71" borderId="24" applyBorder="0"/>
    <xf numFmtId="0" fontId="4" fillId="0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88" fillId="108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4" fontId="38" fillId="69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38" fillId="58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6" fillId="54" borderId="20" applyNumberFormat="0" applyProtection="0">
      <alignment vertical="center"/>
    </xf>
    <xf numFmtId="4" fontId="43" fillId="97" borderId="34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88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43" fillId="10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0" fontId="25" fillId="48" borderId="87" applyNumberFormat="0" applyFont="0" applyAlignment="0" applyProtection="0"/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54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124" fillId="104" borderId="91" applyNumberFormat="0" applyAlignment="0" applyProtection="0"/>
    <xf numFmtId="0" fontId="124" fillId="104" borderId="91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4" fontId="48" fillId="68" borderId="25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9" fontId="95" fillId="110" borderId="84"/>
    <xf numFmtId="0" fontId="4" fillId="69" borderId="20" applyNumberFormat="0" applyProtection="0">
      <alignment horizontal="left" vertical="center" indent="1"/>
    </xf>
    <xf numFmtId="0" fontId="93" fillId="67" borderId="84">
      <protection locked="0"/>
    </xf>
    <xf numFmtId="0" fontId="25" fillId="102" borderId="20" applyNumberFormat="0" applyProtection="0">
      <alignment horizontal="left" vertical="top" indent="1"/>
    </xf>
    <xf numFmtId="4" fontId="38" fillId="69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4" fontId="43" fillId="103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38" fillId="63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85" fillId="54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93" fillId="67" borderId="84">
      <protection locked="0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8" fillId="68" borderId="25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72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43" fillId="63" borderId="34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1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9" fontId="95" fillId="110" borderId="84"/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8" fillId="57" borderId="20" applyNumberFormat="0" applyProtection="0">
      <alignment horizontal="right" vertical="center"/>
    </xf>
    <xf numFmtId="4" fontId="36" fillId="54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85" fillId="54" borderId="34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8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88" fillId="108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93" fillId="67" borderId="84">
      <protection locked="0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88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43" fillId="72" borderId="20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34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8" fillId="57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57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8" fillId="56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37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3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0" fontId="39" fillId="54" borderId="20" applyNumberFormat="0" applyProtection="0">
      <alignment horizontal="left" vertical="top" indent="1"/>
    </xf>
    <xf numFmtId="4" fontId="43" fillId="88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38" fillId="69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85" fillId="72" borderId="34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36" fillId="54" borderId="20" applyNumberFormat="0" applyProtection="0">
      <alignment vertical="center"/>
    </xf>
    <xf numFmtId="0" fontId="4" fillId="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4" fontId="38" fillId="69" borderId="20" applyNumberFormat="0" applyProtection="0">
      <alignment vertical="center"/>
    </xf>
    <xf numFmtId="0" fontId="25" fillId="102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124" fillId="104" borderId="91" applyNumberFormat="0" applyAlignment="0" applyProtection="0"/>
    <xf numFmtId="4" fontId="43" fillId="101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54" borderId="34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4" fontId="39" fillId="99" borderId="34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48" fillId="68" borderId="25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9" fontId="95" fillId="110" borderId="84"/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0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39" fillId="99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94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8" fillId="64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138" fillId="116" borderId="91" applyNumberFormat="0" applyAlignment="0" applyProtection="0"/>
    <xf numFmtId="4" fontId="43" fillId="93" borderId="34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7" fillId="54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4" fillId="0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49" fontId="95" fillId="110" borderId="84"/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200" fontId="127" fillId="0" borderId="86">
      <alignment horizontal="right"/>
    </xf>
    <xf numFmtId="4" fontId="43" fillId="5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vertical="center"/>
    </xf>
    <xf numFmtId="4" fontId="3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8" fillId="6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66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4" fillId="69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6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4" fillId="68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0" fontId="4" fillId="68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" fillId="0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81" fillId="79" borderId="34" applyNumberFormat="0" applyAlignment="0" applyProtection="0"/>
    <xf numFmtId="4" fontId="49" fillId="69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58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95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4" fillId="68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4" fontId="38" fillId="64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61" borderId="34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36" fillId="54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93" fillId="67" borderId="84">
      <protection locked="0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200" fontId="127" fillId="0" borderId="86">
      <alignment horizontal="right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9" fontId="95" fillId="110" borderId="84"/>
    <xf numFmtId="0" fontId="4" fillId="68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38" fillId="69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91" fillId="100" borderId="34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0" fontId="25" fillId="107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81" fillId="79" borderId="34" applyNumberFormat="0" applyAlignment="0" applyProtection="0"/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94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9" fontId="95" fillId="110" borderId="84"/>
    <xf numFmtId="4" fontId="43" fillId="54" borderId="34" applyNumberFormat="0" applyProtection="0">
      <alignment vertical="center"/>
    </xf>
    <xf numFmtId="4" fontId="43" fillId="72" borderId="20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43" fillId="8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58" borderId="34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4" fontId="116" fillId="54" borderId="20" applyNumberFormat="0" applyProtection="0">
      <alignment vertical="center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25" fillId="102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124" fillId="104" borderId="91" applyNumberFormat="0" applyAlignment="0" applyProtection="0"/>
    <xf numFmtId="4" fontId="116" fillId="54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87" fillId="82" borderId="20" applyNumberFormat="0" applyProtection="0">
      <alignment horizontal="left" vertical="top" indent="1"/>
    </xf>
    <xf numFmtId="200" fontId="127" fillId="0" borderId="86">
      <alignment horizontal="right"/>
    </xf>
    <xf numFmtId="4" fontId="43" fillId="63" borderId="34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8" fillId="68" borderId="25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85" fillId="72" borderId="34" applyNumberFormat="0" applyProtection="0">
      <alignment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55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89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0" fontId="93" fillId="67" borderId="84">
      <protection locked="0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88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4" fontId="48" fillId="68" borderId="25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4" fontId="88" fillId="108" borderId="20" applyNumberFormat="0" applyProtection="0">
      <alignment vertical="center"/>
    </xf>
    <xf numFmtId="0" fontId="130" fillId="0" borderId="85" applyFill="0" applyBorder="0" applyProtection="0">
      <alignment horizontal="left" vertical="top"/>
    </xf>
    <xf numFmtId="4" fontId="43" fillId="58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87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63" borderId="20" applyNumberFormat="0" applyProtection="0">
      <alignment horizontal="right"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25" fillId="71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90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4" fontId="48" fillId="68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43" fillId="108" borderId="92" applyNumberFormat="0" applyFont="0" applyAlignment="0" applyProtection="0"/>
    <xf numFmtId="0" fontId="4" fillId="66" borderId="20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4" fontId="36" fillId="54" borderId="20" applyNumberFormat="0" applyProtection="0">
      <alignment vertical="center"/>
    </xf>
    <xf numFmtId="4" fontId="43" fillId="0" borderId="20" applyNumberFormat="0" applyProtection="0">
      <alignment horizontal="left" vertical="center" indent="1"/>
    </xf>
    <xf numFmtId="4" fontId="43" fillId="58" borderId="34" applyNumberFormat="0" applyProtection="0">
      <alignment horizontal="right" vertical="center"/>
    </xf>
    <xf numFmtId="4" fontId="39" fillId="99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38" fillId="69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58" borderId="34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43" fillId="91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43" fillId="64" borderId="34" applyNumberFormat="0" applyProtection="0">
      <alignment horizontal="right" vertical="center"/>
    </xf>
    <xf numFmtId="4" fontId="88" fillId="10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0" fontId="123" fillId="0" borderId="44" applyFill="0" applyProtection="0">
      <alignment horizontal="right"/>
    </xf>
    <xf numFmtId="0" fontId="4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8" fillId="68" borderId="25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0" fontId="87" fillId="82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72" borderId="34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36" fillId="54" borderId="20" applyNumberFormat="0" applyProtection="0">
      <alignment vertical="center"/>
    </xf>
    <xf numFmtId="4" fontId="38" fillId="69" borderId="20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81" fillId="79" borderId="34" applyNumberFormat="0" applyAlignment="0" applyProtection="0"/>
    <xf numFmtId="4" fontId="43" fillId="54" borderId="34" applyNumberFormat="0" applyProtection="0">
      <alignment horizontal="left" vertical="center" indent="1"/>
    </xf>
    <xf numFmtId="4" fontId="85" fillId="54" borderId="34" applyNumberFormat="0" applyProtection="0">
      <alignment vertical="center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200" fontId="127" fillId="0" borderId="86">
      <alignment horizontal="right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93" fillId="67" borderId="84">
      <protection locked="0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38" fillId="69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15" fillId="71" borderId="24" applyBorder="0"/>
    <xf numFmtId="4" fontId="44" fillId="69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8" fillId="60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36" fillId="54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25" fillId="107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124" fillId="104" borderId="91" applyNumberFormat="0" applyAlignment="0" applyProtection="0"/>
    <xf numFmtId="4" fontId="43" fillId="72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91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1" fillId="79" borderId="34" applyNumberFormat="0" applyAlignment="0" applyProtection="0"/>
    <xf numFmtId="4" fontId="38" fillId="69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143" fillId="104" borderId="34" applyNumberFormat="0" applyAlignment="0" applyProtection="0"/>
    <xf numFmtId="4" fontId="43" fillId="0" borderId="34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200" fontId="127" fillId="0" borderId="86">
      <alignment horizontal="right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4" fontId="43" fillId="72" borderId="20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15" fillId="71" borderId="24" applyBorder="0"/>
    <xf numFmtId="4" fontId="38" fillId="6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38" fillId="61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88" fillId="10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4" fillId="69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103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81" fillId="79" borderId="34" applyNumberFormat="0" applyAlignment="0" applyProtection="0"/>
    <xf numFmtId="4" fontId="39" fillId="8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0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130" fillId="0" borderId="85" applyFill="0" applyBorder="0" applyProtection="0">
      <alignment horizontal="left" vertical="top"/>
    </xf>
    <xf numFmtId="3" fontId="127" fillId="0" borderId="42"/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138" fillId="116" borderId="91" applyNumberFormat="0" applyAlignment="0" applyProtection="0"/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100" borderId="89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93" fillId="67" borderId="84">
      <protection locked="0"/>
    </xf>
    <xf numFmtId="49" fontId="95" fillId="110" borderId="84"/>
    <xf numFmtId="0" fontId="43" fillId="68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38" fillId="61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43" fillId="94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9" fillId="99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57" borderId="34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8" fillId="5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38" fillId="69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38" fillId="57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7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97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200" fontId="127" fillId="0" borderId="86">
      <alignment horizontal="right"/>
    </xf>
    <xf numFmtId="4" fontId="43" fillId="88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97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85" fillId="100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103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0" fontId="43" fillId="108" borderId="92" applyNumberFormat="0" applyFont="0" applyAlignment="0" applyProtection="0"/>
    <xf numFmtId="0" fontId="88" fillId="102" borderId="20" applyNumberFormat="0" applyProtection="0">
      <alignment horizontal="left" vertical="top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44" fillId="69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88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38" fillId="57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87" fillId="82" borderId="20" applyNumberFormat="0" applyProtection="0">
      <alignment horizontal="left" vertical="top" indent="1"/>
    </xf>
    <xf numFmtId="4" fontId="43" fillId="72" borderId="34" applyNumberFormat="0" applyProtection="0">
      <alignment vertical="center"/>
    </xf>
    <xf numFmtId="4" fontId="39" fillId="82" borderId="20" applyNumberFormat="0" applyProtection="0">
      <alignment vertical="center"/>
    </xf>
    <xf numFmtId="0" fontId="15" fillId="71" borderId="24" applyBorder="0"/>
    <xf numFmtId="4" fontId="38" fillId="69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8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38" fillId="6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38" fillId="64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0" fontId="138" fillId="116" borderId="91" applyNumberFormat="0" applyAlignment="0" applyProtection="0"/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43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4" fontId="39" fillId="54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54" borderId="34" applyNumberFormat="0" applyProtection="0">
      <alignment vertical="center"/>
    </xf>
    <xf numFmtId="4" fontId="43" fillId="57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72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8" fillId="60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88" fillId="102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93" fillId="67" borderId="84">
      <protection locked="0"/>
    </xf>
    <xf numFmtId="4" fontId="36" fillId="66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38" fillId="58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4" fontId="43" fillId="8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90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38" fillId="5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64" borderId="34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97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9" fillId="99" borderId="34" applyNumberFormat="0" applyProtection="0">
      <alignment horizontal="left" vertical="center" indent="1"/>
    </xf>
    <xf numFmtId="4" fontId="48" fillId="68" borderId="25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43" fillId="97" borderId="34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4" fontId="88" fillId="104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43" fillId="68" borderId="20" applyNumberFormat="0" applyProtection="0">
      <alignment horizontal="left" vertical="top" indent="1"/>
    </xf>
    <xf numFmtId="4" fontId="85" fillId="10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85" fillId="72" borderId="34" applyNumberFormat="0" applyProtection="0">
      <alignment vertical="center"/>
    </xf>
    <xf numFmtId="4" fontId="43" fillId="72" borderId="34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200" fontId="127" fillId="0" borderId="86">
      <alignment horizontal="right"/>
    </xf>
    <xf numFmtId="4" fontId="43" fillId="54" borderId="34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vertical="center"/>
    </xf>
    <xf numFmtId="0" fontId="81" fillId="79" borderId="34" applyNumberFormat="0" applyAlignment="0" applyProtection="0"/>
    <xf numFmtId="0" fontId="81" fillId="79" borderId="34" applyNumberFormat="0" applyAlignment="0" applyProtection="0"/>
    <xf numFmtId="0" fontId="4" fillId="69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88" fillId="104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4" fontId="38" fillId="61" borderId="20" applyNumberFormat="0" applyProtection="0">
      <alignment horizontal="right"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8" fillId="59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97" borderId="34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123" fillId="0" borderId="44" applyFill="0" applyProtection="0">
      <alignment horizontal="right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124" fillId="104" borderId="91" applyNumberFormat="0" applyAlignment="0" applyProtection="0"/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38" fillId="54" borderId="20" applyNumberFormat="0" applyProtection="0">
      <alignment horizontal="left" vertical="center" indent="1"/>
    </xf>
    <xf numFmtId="0" fontId="124" fillId="104" borderId="91" applyNumberFormat="0" applyAlignment="0" applyProtection="0"/>
    <xf numFmtId="0" fontId="43" fillId="72" borderId="20" applyNumberFormat="0" applyProtection="0">
      <alignment horizontal="left" vertical="top" indent="1"/>
    </xf>
    <xf numFmtId="0" fontId="124" fillId="104" borderId="91" applyNumberFormat="0" applyAlignment="0" applyProtection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43" fillId="68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63" borderId="34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93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200" fontId="127" fillId="0" borderId="86">
      <alignment horizontal="right"/>
    </xf>
    <xf numFmtId="4" fontId="43" fillId="54" borderId="34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0" fontId="81" fillId="79" borderId="34" applyNumberFormat="0" applyAlignment="0" applyProtection="0"/>
    <xf numFmtId="0" fontId="81" fillId="79" borderId="34" applyNumberFormat="0" applyAlignment="0" applyProtection="0"/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93" fillId="67" borderId="84">
      <protection locked="0"/>
    </xf>
    <xf numFmtId="49" fontId="95" fillId="110" borderId="84"/>
    <xf numFmtId="0" fontId="130" fillId="0" borderId="85" applyFill="0" applyBorder="0" applyProtection="0">
      <alignment horizontal="left" vertical="top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4" fontId="43" fillId="87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88" fillId="102" borderId="20" applyNumberFormat="0" applyProtection="0">
      <alignment horizontal="left" vertical="top" indent="1"/>
    </xf>
    <xf numFmtId="0" fontId="88" fillId="108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58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4" fontId="43" fillId="93" borderId="34" applyNumberFormat="0" applyProtection="0">
      <alignment horizontal="right"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43" fillId="64" borderId="34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64" borderId="34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200" fontId="127" fillId="0" borderId="86">
      <alignment horizontal="right"/>
    </xf>
    <xf numFmtId="0" fontId="4" fillId="66" borderId="20" applyNumberFormat="0" applyProtection="0">
      <alignment horizontal="left" vertical="center" indent="1"/>
    </xf>
    <xf numFmtId="0" fontId="138" fillId="116" borderId="91" applyNumberFormat="0" applyAlignment="0" applyProtection="0"/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130" fillId="0" borderId="85" applyFill="0" applyBorder="0" applyProtection="0">
      <alignment horizontal="left" vertical="top"/>
    </xf>
    <xf numFmtId="4" fontId="43" fillId="92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200" fontId="127" fillId="0" borderId="86">
      <alignment horizontal="right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4" fontId="44" fillId="69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39" fillId="0" borderId="93" applyNumberFormat="0" applyFill="0" applyAlignment="0" applyProtection="0"/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0" fontId="124" fillId="104" borderId="91" applyNumberFormat="0" applyAlignment="0" applyProtection="0"/>
    <xf numFmtId="0" fontId="4" fillId="66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3" fontId="127" fillId="0" borderId="42"/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30" fillId="0" borderId="85" applyFill="0" applyBorder="0" applyProtection="0">
      <alignment horizontal="left" vertical="top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3" fontId="127" fillId="0" borderId="42"/>
    <xf numFmtId="0" fontId="43" fillId="72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9" fontId="95" fillId="110" borderId="84"/>
    <xf numFmtId="0" fontId="93" fillId="67" borderId="84">
      <protection locked="0"/>
    </xf>
    <xf numFmtId="0" fontId="4" fillId="55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138" fillId="116" borderId="91" applyNumberFormat="0" applyAlignment="0" applyProtection="0"/>
    <xf numFmtId="0" fontId="43" fillId="108" borderId="92" applyNumberFormat="0" applyFont="0" applyAlignment="0" applyProtection="0"/>
    <xf numFmtId="0" fontId="4" fillId="69" borderId="20" applyNumberFormat="0" applyProtection="0">
      <alignment horizontal="left" vertical="top" indent="1"/>
    </xf>
    <xf numFmtId="4" fontId="38" fillId="66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>
      <protection locked="0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25" fillId="92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0" fontId="25" fillId="107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2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82" borderId="87" applyNumberFormat="0" applyProtection="0">
      <alignment vertical="center"/>
    </xf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5" fillId="0" borderId="90" applyNumberFormat="0" applyFill="0" applyAlignment="0" applyProtection="0"/>
    <xf numFmtId="0" fontId="35" fillId="0" borderId="90" applyNumberFormat="0" applyFill="0" applyAlignment="0" applyProtection="0"/>
    <xf numFmtId="4" fontId="92" fillId="70" borderId="87" applyNumberFormat="0" applyProtection="0">
      <alignment horizontal="right" vertical="center"/>
    </xf>
    <xf numFmtId="4" fontId="90" fillId="109" borderId="88" applyNumberFormat="0" applyProtection="0">
      <alignment horizontal="left" vertical="center" indent="1"/>
    </xf>
    <xf numFmtId="0" fontId="33" fillId="38" borderId="0" applyNumberFormat="0" applyBorder="0" applyAlignment="0" applyProtection="0"/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86" fillId="67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0" fontId="33" fillId="78" borderId="0" applyNumberFormat="0" applyBorder="0" applyAlignment="0" applyProtection="0"/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58" fillId="48" borderId="0" applyNumberFormat="0" applyBorder="0" applyAlignment="0" applyProtection="0"/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60" fillId="79" borderId="87" applyNumberFormat="0" applyAlignment="0" applyProtection="0"/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25" fillId="104" borderId="87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0" fontId="67" fillId="0" borderId="30" applyNumberFormat="0" applyFill="0" applyAlignment="0" applyProtection="0"/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0" fontId="69" fillId="0" borderId="31" applyNumberFormat="0" applyFill="0" applyAlignment="0" applyProtection="0"/>
    <xf numFmtId="0" fontId="71" fillId="0" borderId="0" applyNumberFormat="0" applyFill="0" applyBorder="0" applyAlignment="0" applyProtection="0"/>
    <xf numFmtId="0" fontId="73" fillId="49" borderId="87" applyNumberFormat="0" applyAlignment="0" applyProtection="0"/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0" fontId="75" fillId="0" borderId="33" applyNumberFormat="0" applyFill="0" applyAlignment="0" applyProtection="0"/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0" fontId="4" fillId="0" borderId="0"/>
    <xf numFmtId="4" fontId="25" fillId="98" borderId="88" applyNumberFormat="0" applyProtection="0">
      <alignment horizontal="left" vertical="center" indent="1"/>
    </xf>
    <xf numFmtId="4" fontId="25" fillId="96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0" fontId="25" fillId="48" borderId="87" applyNumberFormat="0" applyFont="0" applyAlignment="0" applyProtection="0"/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0" fontId="84" fillId="0" borderId="66">
      <alignment horizont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86" fillId="54" borderId="87" applyNumberFormat="0" applyProtection="0">
      <alignment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86" fillId="54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73" fillId="49" borderId="87" applyNumberFormat="0" applyAlignment="0" applyProtection="0"/>
    <xf numFmtId="0" fontId="73" fillId="49" borderId="87" applyNumberFormat="0" applyAlignment="0" applyProtection="0"/>
    <xf numFmtId="0" fontId="60" fillId="79" borderId="87" applyNumberFormat="0" applyAlignment="0" applyProtection="0"/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86" fillId="67" borderId="87" applyNumberFormat="0" applyProtection="0">
      <alignment horizontal="right" vertical="center"/>
    </xf>
    <xf numFmtId="4" fontId="90" fillId="109" borderId="88" applyNumberFormat="0" applyProtection="0">
      <alignment horizontal="left" vertical="center" indent="1"/>
    </xf>
    <xf numFmtId="4" fontId="92" fillId="70" borderId="87" applyNumberFormat="0" applyProtection="0">
      <alignment horizontal="right" vertical="center"/>
    </xf>
    <xf numFmtId="0" fontId="35" fillId="0" borderId="90" applyNumberFormat="0" applyFill="0" applyAlignment="0" applyProtection="0"/>
    <xf numFmtId="0" fontId="98" fillId="0" borderId="0" applyNumberFormat="0" applyFill="0" applyBorder="0" applyAlignment="0" applyProtection="0"/>
    <xf numFmtId="0" fontId="25" fillId="104" borderId="87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5" fillId="0" borderId="87" applyNumberFormat="0" applyProtection="0">
      <alignment horizontal="right" vertical="center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5" fillId="102" borderId="8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4" fillId="71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0" fontId="2" fillId="0" borderId="0"/>
    <xf numFmtId="4" fontId="25" fillId="96" borderId="87" applyNumberFormat="0" applyProtection="0">
      <alignment horizontal="right" vertical="center"/>
    </xf>
    <xf numFmtId="0" fontId="2" fillId="0" borderId="0"/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60" fillId="79" borderId="87" applyNumberFormat="0" applyAlignment="0" applyProtection="0"/>
    <xf numFmtId="200" fontId="127" fillId="0" borderId="5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5" fillId="48" borderId="87" applyNumberFormat="0" applyFont="0" applyAlignment="0" applyProtection="0"/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54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0" fontId="84" fillId="0" borderId="66">
      <alignment horizont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0" fontId="130" fillId="0" borderId="3" applyFill="0" applyBorder="0" applyProtection="0">
      <alignment horizontal="left" vertical="top"/>
    </xf>
    <xf numFmtId="8" fontId="4" fillId="0" borderId="94" applyFont="0" applyFill="0" applyBorder="0" applyProtection="0">
      <alignment horizontal="right"/>
    </xf>
    <xf numFmtId="0" fontId="139" fillId="0" borderId="66">
      <alignment horizontal="right"/>
    </xf>
    <xf numFmtId="0" fontId="139" fillId="0" borderId="66">
      <alignment horizontal="left"/>
    </xf>
    <xf numFmtId="0" fontId="84" fillId="0" borderId="66">
      <alignment horizontal="center"/>
    </xf>
    <xf numFmtId="0" fontId="139" fillId="0" borderId="66">
      <alignment horizontal="right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86" fillId="54" borderId="87" applyNumberFormat="0" applyProtection="0">
      <alignment vertical="center"/>
    </xf>
    <xf numFmtId="4" fontId="25" fillId="83" borderId="87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86" fillId="67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92" fillId="70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0" fontId="25" fillId="70" borderId="98" applyNumberFormat="0">
      <protection locked="0"/>
    </xf>
    <xf numFmtId="4" fontId="36" fillId="65" borderId="97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1" fillId="79" borderId="99" applyNumberFormat="0" applyAlignment="0" applyProtection="0"/>
    <xf numFmtId="4" fontId="43" fillId="54" borderId="99" applyNumberFormat="0" applyProtection="0">
      <alignment vertical="center"/>
    </xf>
    <xf numFmtId="4" fontId="43" fillId="54" borderId="99" applyNumberFormat="0" applyProtection="0">
      <alignment vertical="center"/>
    </xf>
    <xf numFmtId="4" fontId="43" fillId="54" borderId="99" applyNumberFormat="0" applyProtection="0">
      <alignment vertical="center"/>
    </xf>
    <xf numFmtId="4" fontId="85" fillId="54" borderId="99" applyNumberFormat="0" applyProtection="0">
      <alignment vertical="center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4" fontId="43" fillId="57" borderId="99" applyNumberFormat="0" applyProtection="0">
      <alignment horizontal="right" vertical="center"/>
    </xf>
    <xf numFmtId="4" fontId="43" fillId="57" borderId="99" applyNumberFormat="0" applyProtection="0">
      <alignment horizontal="right" vertical="center"/>
    </xf>
    <xf numFmtId="4" fontId="43" fillId="57" borderId="99" applyNumberFormat="0" applyProtection="0">
      <alignment horizontal="right" vertical="center"/>
    </xf>
    <xf numFmtId="4" fontId="43" fillId="58" borderId="99" applyNumberFormat="0" applyProtection="0">
      <alignment horizontal="right" vertical="center"/>
    </xf>
    <xf numFmtId="4" fontId="43" fillId="58" borderId="99" applyNumberFormat="0" applyProtection="0">
      <alignment horizontal="right" vertical="center"/>
    </xf>
    <xf numFmtId="4" fontId="43" fillId="58" borderId="99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43" fillId="56" borderId="99" applyNumberFormat="0" applyProtection="0">
      <alignment horizontal="right" vertical="center"/>
    </xf>
    <xf numFmtId="4" fontId="43" fillId="56" borderId="99" applyNumberFormat="0" applyProtection="0">
      <alignment horizontal="right" vertical="center"/>
    </xf>
    <xf numFmtId="4" fontId="43" fillId="56" borderId="99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43" fillId="61" borderId="99" applyNumberFormat="0" applyProtection="0">
      <alignment horizontal="right" vertical="center"/>
    </xf>
    <xf numFmtId="4" fontId="43" fillId="61" borderId="99" applyNumberFormat="0" applyProtection="0">
      <alignment horizontal="right" vertical="center"/>
    </xf>
    <xf numFmtId="4" fontId="43" fillId="61" borderId="99" applyNumberFormat="0" applyProtection="0">
      <alignment horizontal="right" vertical="center"/>
    </xf>
    <xf numFmtId="4" fontId="43" fillId="91" borderId="99" applyNumberFormat="0" applyProtection="0">
      <alignment horizontal="right" vertical="center"/>
    </xf>
    <xf numFmtId="4" fontId="43" fillId="91" borderId="99" applyNumberFormat="0" applyProtection="0">
      <alignment horizontal="right" vertical="center"/>
    </xf>
    <xf numFmtId="4" fontId="43" fillId="91" borderId="99" applyNumberFormat="0" applyProtection="0">
      <alignment horizontal="right" vertical="center"/>
    </xf>
    <xf numFmtId="4" fontId="43" fillId="93" borderId="99" applyNumberFormat="0" applyProtection="0">
      <alignment horizontal="right" vertical="center"/>
    </xf>
    <xf numFmtId="4" fontId="43" fillId="93" borderId="99" applyNumberFormat="0" applyProtection="0">
      <alignment horizontal="right" vertical="center"/>
    </xf>
    <xf numFmtId="4" fontId="43" fillId="93" borderId="99" applyNumberFormat="0" applyProtection="0">
      <alignment horizontal="right" vertical="center"/>
    </xf>
    <xf numFmtId="4" fontId="43" fillId="64" borderId="99" applyNumberFormat="0" applyProtection="0">
      <alignment horizontal="right" vertical="center"/>
    </xf>
    <xf numFmtId="4" fontId="43" fillId="64" borderId="99" applyNumberFormat="0" applyProtection="0">
      <alignment horizontal="right" vertical="center"/>
    </xf>
    <xf numFmtId="4" fontId="43" fillId="64" borderId="99" applyNumberFormat="0" applyProtection="0">
      <alignment horizontal="right" vertical="center"/>
    </xf>
    <xf numFmtId="4" fontId="43" fillId="63" borderId="99" applyNumberFormat="0" applyProtection="0">
      <alignment horizontal="right" vertical="center"/>
    </xf>
    <xf numFmtId="4" fontId="43" fillId="63" borderId="99" applyNumberFormat="0" applyProtection="0">
      <alignment horizontal="right" vertical="center"/>
    </xf>
    <xf numFmtId="4" fontId="43" fillId="63" borderId="99" applyNumberFormat="0" applyProtection="0">
      <alignment horizontal="right" vertical="center"/>
    </xf>
    <xf numFmtId="4" fontId="43" fillId="97" borderId="99" applyNumberFormat="0" applyProtection="0">
      <alignment horizontal="right" vertical="center"/>
    </xf>
    <xf numFmtId="4" fontId="43" fillId="97" borderId="99" applyNumberFormat="0" applyProtection="0">
      <alignment horizontal="right" vertical="center"/>
    </xf>
    <xf numFmtId="4" fontId="43" fillId="97" borderId="99" applyNumberFormat="0" applyProtection="0">
      <alignment horizontal="right" vertical="center"/>
    </xf>
    <xf numFmtId="4" fontId="39" fillId="99" borderId="99" applyNumberFormat="0" applyProtection="0">
      <alignment horizontal="left" vertical="center" indent="1"/>
    </xf>
    <xf numFmtId="4" fontId="39" fillId="98" borderId="97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36" fillId="65" borderId="97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43" fillId="100" borderId="101" applyNumberFormat="0" applyProtection="0">
      <alignment horizontal="left" vertical="center" indent="1"/>
    </xf>
    <xf numFmtId="4" fontId="43" fillId="100" borderId="101" applyNumberFormat="0" applyProtection="0">
      <alignment horizontal="left" vertical="center" indent="1"/>
    </xf>
    <xf numFmtId="4" fontId="43" fillId="100" borderId="101" applyNumberFormat="0" applyProtection="0">
      <alignment horizontal="left" vertical="center" indent="1"/>
    </xf>
    <xf numFmtId="4" fontId="4" fillId="71" borderId="100" applyNumberFormat="0" applyProtection="0">
      <alignment horizontal="left" vertical="center" indent="1"/>
    </xf>
    <xf numFmtId="4" fontId="4" fillId="71" borderId="100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25" fillId="70" borderId="98" applyNumberFormat="0">
      <protection locked="0"/>
    </xf>
    <xf numFmtId="0" fontId="25" fillId="70" borderId="98" applyNumberFormat="0">
      <protection locked="0"/>
    </xf>
    <xf numFmtId="0" fontId="25" fillId="70" borderId="98" applyNumberFormat="0">
      <protection locked="0"/>
    </xf>
    <xf numFmtId="0" fontId="25" fillId="70" borderId="98" applyNumberFormat="0">
      <protection locked="0"/>
    </xf>
    <xf numFmtId="4" fontId="43" fillId="72" borderId="99" applyNumberFormat="0" applyProtection="0">
      <alignment vertical="center"/>
    </xf>
    <xf numFmtId="4" fontId="43" fillId="72" borderId="99" applyNumberFormat="0" applyProtection="0">
      <alignment vertical="center"/>
    </xf>
    <xf numFmtId="4" fontId="43" fillId="72" borderId="99" applyNumberFormat="0" applyProtection="0">
      <alignment vertical="center"/>
    </xf>
    <xf numFmtId="4" fontId="85" fillId="72" borderId="99" applyNumberFormat="0" applyProtection="0">
      <alignment vertical="center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0" borderId="99" applyNumberFormat="0" applyProtection="0">
      <alignment horizontal="right" vertical="center"/>
    </xf>
    <xf numFmtId="4" fontId="43" fillId="0" borderId="99" applyNumberFormat="0" applyProtection="0">
      <alignment horizontal="right" vertical="center"/>
    </xf>
    <xf numFmtId="4" fontId="43" fillId="0" borderId="99" applyNumberFormat="0" applyProtection="0">
      <alignment horizontal="right" vertical="center"/>
    </xf>
    <xf numFmtId="4" fontId="85" fillId="100" borderId="99" applyNumberFormat="0" applyProtection="0">
      <alignment horizontal="right" vertical="center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4" fontId="91" fillId="100" borderId="99" applyNumberFormat="0" applyProtection="0">
      <alignment horizontal="right" vertical="center"/>
    </xf>
    <xf numFmtId="0" fontId="35" fillId="0" borderId="102" applyNumberFormat="0" applyFill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5" fillId="0" borderId="103" applyNumberFormat="0" applyFill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12">
    <xf numFmtId="0" fontId="0" fillId="0" borderId="0" xfId="0"/>
    <xf numFmtId="0" fontId="11" fillId="0" borderId="0" xfId="4" applyFont="1" applyAlignment="1">
      <alignment horizontal="center"/>
    </xf>
    <xf numFmtId="0" fontId="11" fillId="0" borderId="0" xfId="4" quotePrefix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5" fillId="0" borderId="0" xfId="1" applyNumberFormat="1" applyFont="1" applyFill="1" applyBorder="1"/>
    <xf numFmtId="172" fontId="5" fillId="0" borderId="0" xfId="1" applyNumberFormat="1" applyFont="1" applyFill="1" applyBorder="1"/>
    <xf numFmtId="172" fontId="5" fillId="0" borderId="0" xfId="0" applyNumberFormat="1" applyFont="1"/>
    <xf numFmtId="165" fontId="5" fillId="0" borderId="0" xfId="2" applyNumberFormat="1" applyFont="1" applyFill="1" applyBorder="1"/>
    <xf numFmtId="166" fontId="5" fillId="0" borderId="0" xfId="1" applyNumberFormat="1" applyFont="1" applyBorder="1"/>
    <xf numFmtId="0" fontId="27" fillId="0" borderId="0" xfId="0" applyFont="1"/>
    <xf numFmtId="165" fontId="5" fillId="0" borderId="0" xfId="2011" applyNumberFormat="1" applyFont="1"/>
    <xf numFmtId="0" fontId="13" fillId="0" borderId="0" xfId="1965" applyFont="1"/>
    <xf numFmtId="0" fontId="5" fillId="0" borderId="0" xfId="4" applyFont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left" vertical="center"/>
    </xf>
    <xf numFmtId="0" fontId="10" fillId="0" borderId="0" xfId="4" applyFont="1"/>
    <xf numFmtId="0" fontId="10" fillId="0" borderId="0" xfId="4" applyFont="1" applyAlignment="1">
      <alignment horizontal="left"/>
    </xf>
    <xf numFmtId="0" fontId="5" fillId="0" borderId="0" xfId="1965" applyFont="1" applyAlignment="1">
      <alignment horizontal="center"/>
    </xf>
    <xf numFmtId="172" fontId="5" fillId="0" borderId="0" xfId="1963" applyNumberFormat="1" applyFont="1"/>
    <xf numFmtId="165" fontId="6" fillId="0" borderId="0" xfId="1963" applyNumberFormat="1" applyFont="1"/>
    <xf numFmtId="166" fontId="6" fillId="0" borderId="49" xfId="22" applyNumberFormat="1" applyFont="1" applyBorder="1"/>
    <xf numFmtId="181" fontId="5" fillId="0" borderId="4" xfId="4" applyNumberFormat="1" applyFont="1" applyBorder="1" applyAlignment="1">
      <alignment horizontal="right"/>
    </xf>
    <xf numFmtId="0" fontId="5" fillId="0" borderId="0" xfId="2012" applyFont="1" applyAlignment="1">
      <alignment horizontal="center"/>
    </xf>
    <xf numFmtId="0" fontId="6" fillId="0" borderId="0" xfId="2012" applyFont="1" applyAlignment="1">
      <alignment horizontal="center"/>
    </xf>
    <xf numFmtId="0" fontId="6" fillId="0" borderId="0" xfId="2012" applyFont="1"/>
    <xf numFmtId="0" fontId="6" fillId="0" borderId="0" xfId="2012" applyFont="1" applyAlignment="1">
      <alignment horizontal="left"/>
    </xf>
    <xf numFmtId="0" fontId="13" fillId="0" borderId="0" xfId="2012" applyFont="1"/>
    <xf numFmtId="183" fontId="5" fillId="0" borderId="0" xfId="2012" applyNumberFormat="1" applyFont="1" applyAlignment="1">
      <alignment horizontal="right"/>
    </xf>
    <xf numFmtId="0" fontId="5" fillId="0" borderId="0" xfId="2012" applyFont="1"/>
    <xf numFmtId="183" fontId="5" fillId="0" borderId="0" xfId="2012" quotePrefix="1" applyNumberFormat="1" applyFont="1" applyAlignment="1">
      <alignment horizontal="right"/>
    </xf>
    <xf numFmtId="182" fontId="5" fillId="0" borderId="0" xfId="2012" applyNumberFormat="1" applyFont="1" applyAlignment="1">
      <alignment horizontal="left"/>
    </xf>
    <xf numFmtId="0" fontId="13" fillId="0" borderId="0" xfId="2012" applyFont="1" applyAlignment="1">
      <alignment horizontal="center"/>
    </xf>
    <xf numFmtId="165" fontId="5" fillId="0" borderId="0" xfId="21" applyNumberFormat="1" applyFont="1" applyFill="1" applyBorder="1" applyProtection="1">
      <protection locked="0"/>
    </xf>
    <xf numFmtId="165" fontId="5" fillId="0" borderId="0" xfId="2012" applyNumberFormat="1" applyFont="1" applyAlignment="1" applyProtection="1">
      <alignment horizontal="right"/>
      <protection locked="0"/>
    </xf>
    <xf numFmtId="10" fontId="6" fillId="0" borderId="0" xfId="61" applyNumberFormat="1" applyFont="1" applyBorder="1"/>
    <xf numFmtId="10" fontId="6" fillId="0" borderId="0" xfId="1043" applyNumberFormat="1" applyFont="1" applyAlignment="1" applyProtection="1">
      <alignment horizontal="right"/>
    </xf>
    <xf numFmtId="165" fontId="6" fillId="0" borderId="0" xfId="2012" applyNumberFormat="1" applyFont="1" applyAlignment="1" applyProtection="1">
      <alignment horizontal="right"/>
      <protection locked="0"/>
    </xf>
    <xf numFmtId="10" fontId="6" fillId="0" borderId="0" xfId="61" applyNumberFormat="1" applyFont="1"/>
    <xf numFmtId="183" fontId="6" fillId="0" borderId="0" xfId="2012" quotePrefix="1" applyNumberFormat="1" applyFont="1" applyAlignment="1">
      <alignment horizontal="right"/>
    </xf>
    <xf numFmtId="183" fontId="5" fillId="0" borderId="0" xfId="2012" applyNumberFormat="1" applyFont="1" applyAlignment="1" applyProtection="1">
      <alignment horizontal="right"/>
      <protection locked="0"/>
    </xf>
    <xf numFmtId="0" fontId="6" fillId="0" borderId="0" xfId="1965" applyFont="1"/>
    <xf numFmtId="167" fontId="5" fillId="0" borderId="0" xfId="1043" applyNumberFormat="1" applyFont="1" applyAlignment="1">
      <alignment horizontal="right"/>
    </xf>
    <xf numFmtId="165" fontId="5" fillId="0" borderId="0" xfId="2039" applyNumberFormat="1" applyFont="1" applyFill="1"/>
    <xf numFmtId="165" fontId="5" fillId="0" borderId="0" xfId="2039" applyNumberFormat="1" applyFont="1" applyAlignment="1">
      <alignment horizontal="right"/>
    </xf>
    <xf numFmtId="0" fontId="6" fillId="0" borderId="0" xfId="1965" applyFont="1" applyAlignment="1">
      <alignment horizontal="center"/>
    </xf>
    <xf numFmtId="175" fontId="6" fillId="0" borderId="0" xfId="1965" applyNumberFormat="1" applyFont="1"/>
    <xf numFmtId="0" fontId="5" fillId="0" borderId="0" xfId="1965" applyFont="1" applyAlignment="1">
      <alignment horizontal="left"/>
    </xf>
    <xf numFmtId="165" fontId="6" fillId="0" borderId="0" xfId="1965" applyNumberFormat="1" applyFont="1"/>
    <xf numFmtId="44" fontId="6" fillId="0" borderId="0" xfId="1965" applyNumberFormat="1" applyFont="1"/>
    <xf numFmtId="165" fontId="5" fillId="0" borderId="0" xfId="21" applyNumberFormat="1" applyFont="1" applyFill="1" applyBorder="1" applyAlignment="1" applyProtection="1">
      <alignment horizontal="right"/>
      <protection locked="0"/>
    </xf>
    <xf numFmtId="0" fontId="6" fillId="0" borderId="4" xfId="4" applyFont="1" applyBorder="1"/>
    <xf numFmtId="0" fontId="6" fillId="0" borderId="4" xfId="4" applyFont="1" applyBorder="1" applyAlignment="1">
      <alignment horizontal="center"/>
    </xf>
    <xf numFmtId="10" fontId="6" fillId="0" borderId="4" xfId="61" applyNumberFormat="1" applyFont="1" applyBorder="1" applyAlignment="1">
      <alignment horizontal="center"/>
    </xf>
    <xf numFmtId="0" fontId="6" fillId="0" borderId="0" xfId="4" applyFont="1" applyAlignment="1">
      <alignment horizontal="left"/>
    </xf>
    <xf numFmtId="10" fontId="6" fillId="0" borderId="0" xfId="1043" applyNumberFormat="1" applyFont="1" applyBorder="1" applyAlignment="1">
      <alignment horizontal="right"/>
    </xf>
    <xf numFmtId="0" fontId="5" fillId="0" borderId="0" xfId="1965" applyFont="1"/>
    <xf numFmtId="165" fontId="5" fillId="0" borderId="0" xfId="2069" applyNumberFormat="1" applyFont="1" applyFill="1" applyBorder="1" applyProtection="1">
      <protection locked="0"/>
    </xf>
    <xf numFmtId="0" fontId="5" fillId="0" borderId="0" xfId="1604" applyFont="1"/>
    <xf numFmtId="0" fontId="5" fillId="0" borderId="86" xfId="4" applyFont="1" applyBorder="1"/>
    <xf numFmtId="0" fontId="6" fillId="0" borderId="0" xfId="4" applyFont="1"/>
    <xf numFmtId="0" fontId="5" fillId="0" borderId="0" xfId="2001" applyFont="1"/>
    <xf numFmtId="0" fontId="5" fillId="0" borderId="0" xfId="2001" applyFont="1" applyAlignment="1">
      <alignment horizontal="center"/>
    </xf>
    <xf numFmtId="165" fontId="5" fillId="0" borderId="0" xfId="23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6" fillId="0" borderId="0" xfId="21" quotePrefix="1" applyNumberFormat="1" applyFont="1" applyFill="1" applyBorder="1" applyAlignment="1">
      <alignment horizontal="right"/>
    </xf>
    <xf numFmtId="173" fontId="6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6" fillId="0" borderId="0" xfId="4" applyFont="1" applyAlignment="1" applyProtection="1">
      <alignment horizontal="center"/>
      <protection locked="0"/>
    </xf>
    <xf numFmtId="166" fontId="6" fillId="0" borderId="0" xfId="2408" applyNumberFormat="1" applyFont="1" applyFill="1" applyAlignment="1" applyProtection="1">
      <alignment horizontal="center"/>
    </xf>
    <xf numFmtId="166" fontId="6" fillId="0" borderId="0" xfId="2408" applyNumberFormat="1" applyFont="1" applyFill="1" applyAlignment="1" applyProtection="1">
      <alignment horizontal="right"/>
    </xf>
    <xf numFmtId="166" fontId="6" fillId="0" borderId="0" xfId="2408" applyNumberFormat="1" applyFont="1" applyFill="1" applyBorder="1" applyAlignment="1" applyProtection="1">
      <alignment horizontal="center"/>
    </xf>
    <xf numFmtId="165" fontId="6" fillId="0" borderId="0" xfId="21" applyNumberFormat="1" applyFont="1" applyFill="1" applyBorder="1" applyAlignment="1" applyProtection="1">
      <alignment horizontal="right"/>
    </xf>
    <xf numFmtId="0" fontId="6" fillId="0" borderId="0" xfId="4" applyFont="1" applyAlignment="1">
      <alignment horizontal="center"/>
    </xf>
    <xf numFmtId="165" fontId="5" fillId="0" borderId="0" xfId="21" applyNumberFormat="1" applyFont="1" applyFill="1" applyAlignment="1" applyProtection="1">
      <alignment horizontal="right"/>
    </xf>
    <xf numFmtId="166" fontId="5" fillId="0" borderId="0" xfId="2408" applyNumberFormat="1" applyFont="1" applyFill="1" applyAlignment="1" applyProtection="1">
      <alignment horizontal="right"/>
    </xf>
    <xf numFmtId="0" fontId="29" fillId="0" borderId="0" xfId="1962" applyFont="1"/>
    <xf numFmtId="41" fontId="29" fillId="0" borderId="0" xfId="1962" applyNumberFormat="1" applyFont="1"/>
    <xf numFmtId="209" fontId="29" fillId="0" borderId="0" xfId="1962" applyNumberFormat="1" applyFont="1"/>
    <xf numFmtId="0" fontId="5" fillId="0" borderId="86" xfId="37887" quotePrefix="1" applyNumberFormat="1" applyFont="1" applyFill="1" applyBorder="1" applyAlignment="1">
      <alignment vertical="center"/>
    </xf>
    <xf numFmtId="0" fontId="29" fillId="0" borderId="86" xfId="1962" applyFont="1" applyBorder="1"/>
    <xf numFmtId="0" fontId="5" fillId="0" borderId="3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4" xfId="4" applyFont="1" applyBorder="1" applyAlignment="1">
      <alignment horizontal="left"/>
    </xf>
    <xf numFmtId="10" fontId="6" fillId="0" borderId="3" xfId="61" applyNumberFormat="1" applyFont="1" applyBorder="1" applyAlignment="1">
      <alignment horizontal="center"/>
    </xf>
    <xf numFmtId="41" fontId="5" fillId="0" borderId="3" xfId="21" applyNumberFormat="1" applyFont="1" applyBorder="1" applyAlignment="1">
      <alignment horizontal="center"/>
    </xf>
    <xf numFmtId="43" fontId="6" fillId="0" borderId="3" xfId="4" applyNumberFormat="1" applyFont="1" applyBorder="1" applyAlignment="1">
      <alignment horizontal="center"/>
    </xf>
    <xf numFmtId="41" fontId="6" fillId="0" borderId="3" xfId="21" applyNumberFormat="1" applyFont="1" applyBorder="1" applyAlignment="1">
      <alignment horizontal="left"/>
    </xf>
    <xf numFmtId="41" fontId="6" fillId="0" borderId="3" xfId="21" applyNumberFormat="1" applyFont="1" applyFill="1" applyBorder="1" applyAlignment="1">
      <alignment horizontal="left"/>
    </xf>
    <xf numFmtId="41" fontId="5" fillId="0" borderId="3" xfId="21" applyNumberFormat="1" applyFont="1" applyFill="1" applyBorder="1" applyAlignment="1">
      <alignment horizontal="center"/>
    </xf>
    <xf numFmtId="41" fontId="5" fillId="0" borderId="0" xfId="21" applyNumberFormat="1" applyFont="1" applyFill="1" applyBorder="1" applyAlignment="1">
      <alignment horizontal="center"/>
    </xf>
    <xf numFmtId="41" fontId="6" fillId="0" borderId="3" xfId="21" applyNumberFormat="1" applyFont="1" applyFill="1" applyBorder="1" applyAlignment="1">
      <alignment horizontal="center"/>
    </xf>
    <xf numFmtId="0" fontId="6" fillId="0" borderId="95" xfId="4" applyFont="1" applyBorder="1"/>
    <xf numFmtId="43" fontId="5" fillId="0" borderId="3" xfId="4" applyNumberFormat="1" applyFont="1" applyBorder="1" applyAlignment="1">
      <alignment horizontal="center"/>
    </xf>
    <xf numFmtId="41" fontId="6" fillId="0" borderId="3" xfId="21" applyNumberFormat="1" applyFont="1" applyBorder="1" applyAlignment="1">
      <alignment horizontal="center"/>
    </xf>
    <xf numFmtId="41" fontId="6" fillId="0" borderId="3" xfId="21" applyNumberFormat="1" applyFont="1" applyFill="1" applyBorder="1"/>
    <xf numFmtId="166" fontId="6" fillId="0" borderId="3" xfId="22" applyNumberFormat="1" applyFont="1" applyFill="1" applyBorder="1"/>
    <xf numFmtId="0" fontId="6" fillId="0" borderId="95" xfId="4" applyFont="1" applyBorder="1" applyAlignment="1">
      <alignment horizontal="center"/>
    </xf>
    <xf numFmtId="0" fontId="5" fillId="0" borderId="0" xfId="37037" applyFont="1" applyAlignment="1">
      <alignment horizontal="center"/>
    </xf>
    <xf numFmtId="0" fontId="5" fillId="0" borderId="0" xfId="37037" applyFont="1"/>
    <xf numFmtId="0" fontId="27" fillId="0" borderId="0" xfId="0" applyFont="1" applyAlignment="1">
      <alignment horizontal="center" vertical="center"/>
    </xf>
    <xf numFmtId="6" fontId="6" fillId="0" borderId="0" xfId="4" applyNumberFormat="1" applyFont="1"/>
    <xf numFmtId="0" fontId="5" fillId="0" borderId="0" xfId="37925" applyFont="1"/>
    <xf numFmtId="10" fontId="6" fillId="0" borderId="0" xfId="3853" applyNumberFormat="1" applyFont="1"/>
    <xf numFmtId="165" fontId="6" fillId="0" borderId="0" xfId="2" applyNumberFormat="1" applyFont="1" applyFill="1" applyBorder="1"/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Continuous" vertical="center"/>
    </xf>
    <xf numFmtId="166" fontId="6" fillId="0" borderId="0" xfId="2408" applyNumberFormat="1" applyFont="1" applyAlignment="1">
      <alignment horizontal="centerContinuous" vertical="center"/>
    </xf>
    <xf numFmtId="0" fontId="6" fillId="0" borderId="0" xfId="2408" applyNumberFormat="1" applyFont="1" applyAlignment="1">
      <alignment horizontal="centerContinuous" vertical="center"/>
    </xf>
    <xf numFmtId="166" fontId="6" fillId="0" borderId="0" xfId="2408" applyNumberFormat="1" applyFont="1" applyAlignment="1">
      <alignment vertical="center"/>
    </xf>
    <xf numFmtId="0" fontId="6" fillId="0" borderId="0" xfId="2408" applyNumberFormat="1" applyFont="1" applyAlignment="1">
      <alignment vertical="center"/>
    </xf>
    <xf numFmtId="0" fontId="6" fillId="0" borderId="86" xfId="4" applyFont="1" applyBorder="1" applyAlignment="1">
      <alignment horizontal="center" vertical="center"/>
    </xf>
    <xf numFmtId="0" fontId="6" fillId="0" borderId="4" xfId="4" quotePrefix="1" applyFont="1" applyBorder="1" applyAlignment="1">
      <alignment horizontal="center" vertical="center"/>
    </xf>
    <xf numFmtId="0" fontId="6" fillId="0" borderId="86" xfId="4" applyFont="1" applyBorder="1" applyAlignment="1">
      <alignment horizontal="centerContinuous" vertical="center"/>
    </xf>
    <xf numFmtId="0" fontId="5" fillId="0" borderId="0" xfId="4" applyFont="1" applyAlignment="1">
      <alignment horizontal="center" vertical="center"/>
    </xf>
    <xf numFmtId="0" fontId="6" fillId="0" borderId="86" xfId="4" applyFont="1" applyBorder="1" applyAlignment="1">
      <alignment horizontal="left" vertical="center"/>
    </xf>
    <xf numFmtId="0" fontId="6" fillId="0" borderId="4" xfId="4" applyFont="1" applyBorder="1" applyAlignment="1">
      <alignment horizontal="center" vertical="center"/>
    </xf>
    <xf numFmtId="17" fontId="5" fillId="0" borderId="86" xfId="4" applyNumberFormat="1" applyFont="1" applyBorder="1" applyAlignment="1">
      <alignment horizontal="left" vertical="center"/>
    </xf>
    <xf numFmtId="165" fontId="5" fillId="0" borderId="4" xfId="21" applyNumberFormat="1" applyFont="1" applyBorder="1" applyAlignment="1">
      <alignment vertical="center"/>
    </xf>
    <xf numFmtId="0" fontId="5" fillId="0" borderId="86" xfId="4" applyFont="1" applyBorder="1" applyAlignment="1">
      <alignment horizontal="centerContinuous" vertical="center"/>
    </xf>
    <xf numFmtId="165" fontId="5" fillId="0" borderId="4" xfId="21" applyNumberFormat="1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166" fontId="5" fillId="0" borderId="4" xfId="4" applyNumberFormat="1" applyFont="1" applyBorder="1" applyAlignment="1">
      <alignment vertical="center"/>
    </xf>
    <xf numFmtId="0" fontId="157" fillId="0" borderId="86" xfId="4" applyFont="1" applyBorder="1" applyAlignment="1">
      <alignment horizontal="centerContinuous" vertical="center"/>
    </xf>
    <xf numFmtId="166" fontId="5" fillId="0" borderId="4" xfId="2408" applyNumberFormat="1" applyFont="1" applyBorder="1" applyAlignment="1">
      <alignment horizontal="center" vertical="center"/>
    </xf>
    <xf numFmtId="0" fontId="6" fillId="0" borderId="86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165" fontId="6" fillId="0" borderId="4" xfId="21" applyNumberFormat="1" applyFont="1" applyBorder="1" applyAlignment="1">
      <alignment vertical="center"/>
    </xf>
    <xf numFmtId="0" fontId="5" fillId="0" borderId="86" xfId="4" applyFont="1" applyBorder="1" applyAlignment="1">
      <alignment vertical="center"/>
    </xf>
    <xf numFmtId="37" fontId="6" fillId="0" borderId="0" xfId="4" applyNumberFormat="1" applyFont="1" applyAlignment="1">
      <alignment vertical="center"/>
    </xf>
    <xf numFmtId="0" fontId="11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37" fontId="6" fillId="0" borderId="0" xfId="2408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8" fontId="6" fillId="0" borderId="0" xfId="4" applyNumberFormat="1" applyFont="1" applyAlignment="1">
      <alignment vertical="center"/>
    </xf>
    <xf numFmtId="165" fontId="5" fillId="0" borderId="4" xfId="2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6" fillId="0" borderId="4" xfId="4" applyNumberFormat="1" applyFont="1" applyBorder="1" applyAlignment="1">
      <alignment vertical="center"/>
    </xf>
    <xf numFmtId="165" fontId="6" fillId="0" borderId="4" xfId="2" applyNumberFormat="1" applyFont="1" applyBorder="1" applyAlignment="1">
      <alignment vertical="center"/>
    </xf>
    <xf numFmtId="166" fontId="5" fillId="0" borderId="0" xfId="4" applyNumberFormat="1" applyFont="1" applyAlignment="1">
      <alignment vertical="center"/>
    </xf>
    <xf numFmtId="168" fontId="5" fillId="0" borderId="0" xfId="4" applyNumberFormat="1" applyFont="1" applyAlignment="1">
      <alignment vertical="center"/>
    </xf>
    <xf numFmtId="168" fontId="6" fillId="0" borderId="0" xfId="2408" applyNumberFormat="1" applyFont="1" applyAlignment="1">
      <alignment vertical="center"/>
    </xf>
    <xf numFmtId="166" fontId="6" fillId="0" borderId="86" xfId="4" applyNumberFormat="1" applyFont="1" applyBorder="1" applyAlignment="1">
      <alignment vertical="center"/>
    </xf>
    <xf numFmtId="166" fontId="5" fillId="0" borderId="86" xfId="4" applyNumberFormat="1" applyFont="1" applyBorder="1" applyAlignment="1">
      <alignment vertical="center"/>
    </xf>
    <xf numFmtId="168" fontId="6" fillId="0" borderId="86" xfId="4" applyNumberFormat="1" applyFont="1" applyBorder="1" applyAlignment="1">
      <alignment vertical="center"/>
    </xf>
    <xf numFmtId="165" fontId="6" fillId="0" borderId="4" xfId="2" applyNumberFormat="1" applyFont="1" applyFill="1" applyBorder="1" applyAlignment="1">
      <alignment vertical="center"/>
    </xf>
    <xf numFmtId="0" fontId="6" fillId="0" borderId="0" xfId="2408" applyNumberFormat="1" applyFont="1" applyFill="1" applyAlignment="1">
      <alignment horizontal="centerContinuous" vertical="center"/>
    </xf>
    <xf numFmtId="0" fontId="6" fillId="0" borderId="0" xfId="2408" applyNumberFormat="1" applyFont="1" applyFill="1" applyAlignment="1">
      <alignment vertical="center"/>
    </xf>
    <xf numFmtId="44" fontId="3" fillId="0" borderId="0" xfId="2" applyFont="1" applyAlignment="1">
      <alignment vertical="center"/>
    </xf>
    <xf numFmtId="166" fontId="6" fillId="0" borderId="0" xfId="4" applyNumberFormat="1" applyFont="1" applyAlignment="1">
      <alignment vertical="center"/>
    </xf>
    <xf numFmtId="0" fontId="6" fillId="0" borderId="86" xfId="4" applyFont="1" applyBorder="1" applyAlignment="1">
      <alignment horizontal="right" vertical="center"/>
    </xf>
    <xf numFmtId="3" fontId="5" fillId="0" borderId="86" xfId="4" applyNumberFormat="1" applyFont="1" applyBorder="1" applyAlignment="1">
      <alignment horizontal="centerContinuous" vertical="center"/>
    </xf>
    <xf numFmtId="0" fontId="5" fillId="0" borderId="86" xfId="4" applyFont="1" applyBorder="1" applyAlignment="1">
      <alignment horizontal="center" vertical="center"/>
    </xf>
    <xf numFmtId="37" fontId="5" fillId="0" borderId="0" xfId="4" applyNumberFormat="1" applyFont="1" applyAlignment="1">
      <alignment vertical="center"/>
    </xf>
    <xf numFmtId="3" fontId="5" fillId="0" borderId="86" xfId="4" applyNumberFormat="1" applyFont="1" applyBorder="1" applyAlignment="1">
      <alignment vertical="center"/>
    </xf>
    <xf numFmtId="0" fontId="5" fillId="0" borderId="0" xfId="4" quotePrefix="1" applyFont="1" applyAlignment="1">
      <alignment horizontal="left" vertical="center"/>
    </xf>
    <xf numFmtId="165" fontId="5" fillId="0" borderId="0" xfId="4" applyNumberFormat="1" applyFont="1" applyAlignment="1">
      <alignment vertical="center"/>
    </xf>
    <xf numFmtId="43" fontId="5" fillId="0" borderId="0" xfId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5" fillId="0" borderId="0" xfId="2408" applyNumberFormat="1" applyFont="1" applyAlignment="1">
      <alignment horizontal="centerContinuous" vertical="center"/>
    </xf>
    <xf numFmtId="0" fontId="6" fillId="0" borderId="86" xfId="4" quotePrefix="1" applyFont="1" applyBorder="1" applyAlignment="1">
      <alignment horizontal="center" vertical="center"/>
    </xf>
    <xf numFmtId="166" fontId="6" fillId="0" borderId="86" xfId="2408" applyNumberFormat="1" applyFont="1" applyFill="1" applyBorder="1" applyAlignment="1">
      <alignment horizontal="center" vertical="center"/>
    </xf>
    <xf numFmtId="166" fontId="6" fillId="0" borderId="86" xfId="2408" applyNumberFormat="1" applyFont="1" applyBorder="1" applyAlignment="1">
      <alignment horizontal="center" vertical="center"/>
    </xf>
    <xf numFmtId="166" fontId="6" fillId="0" borderId="3" xfId="2408" applyNumberFormat="1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66" fontId="6" fillId="0" borderId="4" xfId="2408" applyNumberFormat="1" applyFont="1" applyFill="1" applyBorder="1" applyAlignment="1">
      <alignment horizontal="center" vertical="center"/>
    </xf>
    <xf numFmtId="166" fontId="6" fillId="0" borderId="0" xfId="2408" applyNumberFormat="1" applyFont="1" applyAlignment="1">
      <alignment horizontal="center" vertical="center"/>
    </xf>
    <xf numFmtId="0" fontId="5" fillId="0" borderId="4" xfId="4" applyFont="1" applyBorder="1" applyAlignment="1">
      <alignment vertical="center"/>
    </xf>
    <xf numFmtId="169" fontId="5" fillId="0" borderId="86" xfId="4" applyNumberFormat="1" applyFont="1" applyBorder="1" applyAlignment="1">
      <alignment horizontal="center" vertical="center"/>
    </xf>
    <xf numFmtId="165" fontId="5" fillId="0" borderId="86" xfId="2" applyNumberFormat="1" applyFont="1" applyFill="1" applyBorder="1" applyAlignment="1">
      <alignment vertical="center"/>
    </xf>
    <xf numFmtId="165" fontId="5" fillId="0" borderId="86" xfId="2" applyNumberFormat="1" applyFont="1" applyBorder="1" applyAlignment="1">
      <alignment vertical="center"/>
    </xf>
    <xf numFmtId="166" fontId="5" fillId="0" borderId="86" xfId="1" applyNumberFormat="1" applyFont="1" applyFill="1" applyBorder="1" applyAlignment="1">
      <alignment vertical="center"/>
    </xf>
    <xf numFmtId="166" fontId="5" fillId="0" borderId="86" xfId="1" applyNumberFormat="1" applyFont="1" applyBorder="1" applyAlignment="1">
      <alignment vertical="center"/>
    </xf>
    <xf numFmtId="166" fontId="5" fillId="0" borderId="4" xfId="2408" applyNumberFormat="1" applyFont="1" applyBorder="1" applyAlignment="1">
      <alignment vertical="center"/>
    </xf>
    <xf numFmtId="166" fontId="5" fillId="0" borderId="86" xfId="2408" applyNumberFormat="1" applyFont="1" applyFill="1" applyBorder="1" applyAlignment="1">
      <alignment vertical="center"/>
    </xf>
    <xf numFmtId="166" fontId="5" fillId="0" borderId="86" xfId="2408" applyNumberFormat="1" applyFont="1" applyBorder="1" applyAlignment="1">
      <alignment vertical="center"/>
    </xf>
    <xf numFmtId="166" fontId="5" fillId="0" borderId="0" xfId="2408" applyNumberFormat="1" applyFont="1" applyBorder="1" applyAlignment="1">
      <alignment vertical="center"/>
    </xf>
    <xf numFmtId="165" fontId="27" fillId="0" borderId="86" xfId="2" applyNumberFormat="1" applyFont="1" applyFill="1" applyBorder="1" applyAlignment="1">
      <alignment vertical="center"/>
    </xf>
    <xf numFmtId="165" fontId="5" fillId="0" borderId="4" xfId="2" applyNumberFormat="1" applyFont="1" applyFill="1" applyBorder="1" applyAlignment="1">
      <alignment vertical="center"/>
    </xf>
    <xf numFmtId="166" fontId="27" fillId="0" borderId="86" xfId="1453" applyNumberFormat="1" applyFont="1" applyFill="1" applyBorder="1" applyAlignment="1">
      <alignment vertical="center"/>
    </xf>
    <xf numFmtId="166" fontId="5" fillId="0" borderId="4" xfId="2408" applyNumberFormat="1" applyFont="1" applyFill="1" applyBorder="1" applyAlignment="1">
      <alignment vertical="center"/>
    </xf>
    <xf numFmtId="166" fontId="5" fillId="0" borderId="0" xfId="2408" applyNumberFormat="1" applyFont="1" applyFill="1" applyBorder="1" applyAlignment="1">
      <alignment vertical="center"/>
    </xf>
    <xf numFmtId="166" fontId="5" fillId="0" borderId="0" xfId="2408" applyNumberFormat="1" applyFont="1" applyAlignment="1">
      <alignment vertical="center"/>
    </xf>
    <xf numFmtId="169" fontId="5" fillId="0" borderId="86" xfId="4" applyNumberFormat="1" applyFont="1" applyBorder="1" applyAlignment="1">
      <alignment horizontal="center"/>
    </xf>
    <xf numFmtId="0" fontId="5" fillId="0" borderId="86" xfId="4" applyFont="1" applyBorder="1" applyAlignment="1">
      <alignment horizontal="center"/>
    </xf>
    <xf numFmtId="0" fontId="5" fillId="0" borderId="86" xfId="4" quotePrefix="1" applyFont="1" applyBorder="1" applyAlignment="1">
      <alignment horizontal="left"/>
    </xf>
    <xf numFmtId="0" fontId="9" fillId="0" borderId="0" xfId="4" applyFont="1" applyAlignment="1">
      <alignment vertical="center"/>
    </xf>
    <xf numFmtId="0" fontId="6" fillId="0" borderId="4" xfId="4" applyFont="1" applyBorder="1" applyAlignment="1">
      <alignment horizontal="centerContinuous" vertical="center"/>
    </xf>
    <xf numFmtId="0" fontId="6" fillId="0" borderId="3" xfId="4" applyFont="1" applyBorder="1" applyAlignment="1">
      <alignment horizontal="left" vertical="center"/>
    </xf>
    <xf numFmtId="3" fontId="6" fillId="0" borderId="86" xfId="4" applyNumberFormat="1" applyFont="1" applyBorder="1" applyAlignment="1">
      <alignment horizontal="right" vertical="center"/>
    </xf>
    <xf numFmtId="3" fontId="6" fillId="0" borderId="4" xfId="4" applyNumberFormat="1" applyFont="1" applyBorder="1" applyAlignment="1">
      <alignment vertical="center"/>
    </xf>
    <xf numFmtId="17" fontId="5" fillId="0" borderId="3" xfId="4" applyNumberFormat="1" applyFont="1" applyBorder="1" applyAlignment="1">
      <alignment horizontal="left" vertical="center"/>
    </xf>
    <xf numFmtId="165" fontId="5" fillId="0" borderId="86" xfId="21" applyNumberFormat="1" applyFont="1" applyFill="1" applyBorder="1" applyAlignment="1">
      <alignment vertical="center"/>
    </xf>
    <xf numFmtId="15" fontId="5" fillId="0" borderId="3" xfId="4" applyNumberFormat="1" applyFont="1" applyBorder="1" applyAlignment="1">
      <alignment vertical="center"/>
    </xf>
    <xf numFmtId="0" fontId="6" fillId="0" borderId="3" xfId="4" applyFont="1" applyBorder="1" applyAlignment="1">
      <alignment vertical="center"/>
    </xf>
    <xf numFmtId="165" fontId="6" fillId="0" borderId="86" xfId="21" applyNumberFormat="1" applyFont="1" applyBorder="1" applyAlignment="1">
      <alignment vertical="center"/>
    </xf>
    <xf numFmtId="3" fontId="5" fillId="0" borderId="4" xfId="4" applyNumberFormat="1" applyFont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3" fontId="6" fillId="0" borderId="86" xfId="4" applyNumberFormat="1" applyFont="1" applyBorder="1" applyAlignment="1">
      <alignment vertical="center"/>
    </xf>
    <xf numFmtId="165" fontId="6" fillId="0" borderId="86" xfId="21" applyNumberFormat="1" applyFont="1" applyFill="1" applyBorder="1" applyAlignment="1">
      <alignment vertical="center"/>
    </xf>
    <xf numFmtId="3" fontId="5" fillId="0" borderId="86" xfId="4" applyNumberFormat="1" applyFont="1" applyBorder="1" applyAlignment="1">
      <alignment horizontal="center" vertical="center"/>
    </xf>
    <xf numFmtId="166" fontId="5" fillId="0" borderId="86" xfId="2408" applyNumberFormat="1" applyFont="1" applyBorder="1" applyAlignment="1">
      <alignment horizontal="center" vertical="center"/>
    </xf>
    <xf numFmtId="165" fontId="5" fillId="0" borderId="4" xfId="21" applyNumberFormat="1" applyFont="1" applyFill="1" applyBorder="1" applyAlignment="1">
      <alignment vertical="center"/>
    </xf>
    <xf numFmtId="44" fontId="0" fillId="0" borderId="0" xfId="2" applyFont="1" applyAlignment="1">
      <alignment vertical="center"/>
    </xf>
    <xf numFmtId="37" fontId="5" fillId="0" borderId="86" xfId="4" applyNumberFormat="1" applyFont="1" applyBorder="1" applyAlignment="1">
      <alignment vertical="center"/>
    </xf>
    <xf numFmtId="0" fontId="6" fillId="0" borderId="86" xfId="4" quotePrefix="1" applyFont="1" applyBorder="1" applyAlignment="1">
      <alignment vertical="center"/>
    </xf>
    <xf numFmtId="166" fontId="6" fillId="0" borderId="4" xfId="2408" applyNumberFormat="1" applyFont="1" applyBorder="1" applyAlignment="1">
      <alignment horizontal="center" vertical="center"/>
    </xf>
    <xf numFmtId="166" fontId="6" fillId="0" borderId="0" xfId="2408" applyNumberFormat="1" applyFont="1" applyBorder="1" applyAlignment="1">
      <alignment horizontal="center" vertical="center"/>
    </xf>
    <xf numFmtId="0" fontId="5" fillId="0" borderId="3" xfId="4" applyFont="1" applyBorder="1" applyAlignment="1">
      <alignment vertical="center"/>
    </xf>
    <xf numFmtId="0" fontId="5" fillId="0" borderId="0" xfId="0" applyFont="1" applyAlignment="1">
      <alignment vertical="center"/>
    </xf>
    <xf numFmtId="170" fontId="5" fillId="0" borderId="4" xfId="4" applyNumberFormat="1" applyFont="1" applyBorder="1" applyAlignment="1">
      <alignment vertical="center"/>
    </xf>
    <xf numFmtId="169" fontId="5" fillId="0" borderId="86" xfId="4" applyNumberFormat="1" applyFont="1" applyBorder="1" applyAlignment="1">
      <alignment vertical="center"/>
    </xf>
    <xf numFmtId="170" fontId="5" fillId="0" borderId="0" xfId="2408" applyNumberFormat="1" applyFont="1" applyAlignment="1">
      <alignment vertical="center"/>
    </xf>
    <xf numFmtId="171" fontId="5" fillId="0" borderId="0" xfId="4" applyNumberFormat="1" applyFont="1" applyAlignment="1">
      <alignment horizontal="left" vertical="center"/>
    </xf>
    <xf numFmtId="41" fontId="5" fillId="0" borderId="0" xfId="4" applyNumberFormat="1" applyFont="1" applyAlignment="1">
      <alignment vertical="center"/>
    </xf>
    <xf numFmtId="165" fontId="5" fillId="0" borderId="86" xfId="2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horizontal="left" vertical="center"/>
    </xf>
    <xf numFmtId="3" fontId="6" fillId="0" borderId="0" xfId="4" applyNumberFormat="1" applyFont="1" applyAlignment="1">
      <alignment horizontal="right" vertical="center"/>
    </xf>
    <xf numFmtId="3" fontId="6" fillId="0" borderId="0" xfId="4" applyNumberFormat="1" applyFont="1" applyAlignment="1">
      <alignment vertical="center"/>
    </xf>
    <xf numFmtId="17" fontId="8" fillId="0" borderId="0" xfId="4" applyNumberFormat="1" applyFont="1" applyAlignment="1">
      <alignment horizontal="left" vertical="center"/>
    </xf>
    <xf numFmtId="17" fontId="6" fillId="0" borderId="0" xfId="4" applyNumberFormat="1" applyFont="1" applyAlignment="1">
      <alignment horizontal="left" vertical="center"/>
    </xf>
    <xf numFmtId="165" fontId="8" fillId="0" borderId="0" xfId="21" applyNumberFormat="1" applyFont="1" applyFill="1" applyBorder="1" applyAlignment="1">
      <alignment vertical="center"/>
    </xf>
    <xf numFmtId="3" fontId="6" fillId="0" borderId="0" xfId="4" applyNumberFormat="1" applyFont="1" applyAlignment="1">
      <alignment horizontal="centerContinuous" vertical="center"/>
    </xf>
    <xf numFmtId="15" fontId="6" fillId="0" borderId="0" xfId="4" applyNumberFormat="1" applyFont="1" applyAlignment="1">
      <alignment vertical="center"/>
    </xf>
    <xf numFmtId="166" fontId="8" fillId="0" borderId="0" xfId="22" applyNumberFormat="1" applyFont="1" applyFill="1" applyBorder="1" applyAlignment="1">
      <alignment vertical="center"/>
    </xf>
    <xf numFmtId="165" fontId="6" fillId="0" borderId="0" xfId="21" applyNumberFormat="1" applyFont="1" applyFill="1" applyBorder="1" applyAlignment="1">
      <alignment vertical="center"/>
    </xf>
    <xf numFmtId="165" fontId="6" fillId="0" borderId="86" xfId="2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66" fontId="5" fillId="0" borderId="0" xfId="1" quotePrefix="1" applyNumberFormat="1" applyFont="1" applyBorder="1" applyAlignment="1">
      <alignment horizontal="centerContinuous" vertical="center"/>
    </xf>
    <xf numFmtId="49" fontId="6" fillId="0" borderId="105" xfId="0" applyNumberFormat="1" applyFont="1" applyBorder="1" applyAlignment="1">
      <alignment vertical="center"/>
    </xf>
    <xf numFmtId="0" fontId="6" fillId="0" borderId="106" xfId="0" applyFont="1" applyBorder="1" applyAlignment="1">
      <alignment vertical="center"/>
    </xf>
    <xf numFmtId="0" fontId="6" fillId="0" borderId="6" xfId="0" quotePrefix="1" applyFont="1" applyBorder="1" applyAlignment="1">
      <alignment horizontal="center" vertical="center"/>
    </xf>
    <xf numFmtId="166" fontId="6" fillId="0" borderId="6" xfId="1" quotePrefix="1" applyNumberFormat="1" applyFont="1" applyBorder="1" applyAlignment="1">
      <alignment horizontal="center" vertical="center"/>
    </xf>
    <xf numFmtId="0" fontId="6" fillId="0" borderId="10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6" fillId="0" borderId="108" xfId="0" applyNumberFormat="1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08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8" fontId="6" fillId="0" borderId="86" xfId="1" applyNumberFormat="1" applyFont="1" applyBorder="1" applyAlignment="1">
      <alignment vertical="center"/>
    </xf>
    <xf numFmtId="38" fontId="6" fillId="0" borderId="8" xfId="1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38" fontId="5" fillId="0" borderId="8" xfId="1" applyNumberFormat="1" applyFont="1" applyBorder="1" applyAlignment="1">
      <alignment horizontal="center" vertical="center"/>
    </xf>
    <xf numFmtId="166" fontId="5" fillId="0" borderId="0" xfId="1" applyNumberFormat="1" applyFont="1" applyFill="1" applyBorder="1" applyAlignment="1">
      <alignment vertical="center"/>
    </xf>
    <xf numFmtId="165" fontId="5" fillId="0" borderId="49" xfId="2" applyNumberFormat="1" applyFont="1" applyFill="1" applyBorder="1" applyAlignment="1">
      <alignment vertical="center"/>
    </xf>
    <xf numFmtId="38" fontId="5" fillId="0" borderId="104" xfId="1" applyNumberFormat="1" applyFont="1" applyBorder="1" applyAlignment="1">
      <alignment horizontal="center" vertical="center"/>
    </xf>
    <xf numFmtId="49" fontId="5" fillId="0" borderId="108" xfId="0" applyNumberFormat="1" applyFont="1" applyBorder="1" applyAlignment="1">
      <alignment horizontal="center" vertical="center"/>
    </xf>
    <xf numFmtId="172" fontId="5" fillId="0" borderId="86" xfId="1" applyNumberFormat="1" applyFont="1" applyFill="1" applyBorder="1" applyAlignment="1">
      <alignment vertical="center"/>
    </xf>
    <xf numFmtId="172" fontId="5" fillId="0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5" fontId="6" fillId="0" borderId="48" xfId="2" applyNumberFormat="1" applyFont="1" applyFill="1" applyBorder="1" applyAlignment="1">
      <alignment vertical="center"/>
    </xf>
    <xf numFmtId="49" fontId="5" fillId="0" borderId="10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72" fontId="5" fillId="0" borderId="49" xfId="0" applyNumberFormat="1" applyFont="1" applyBorder="1" applyAlignment="1">
      <alignment vertical="center"/>
    </xf>
    <xf numFmtId="172" fontId="5" fillId="0" borderId="49" xfId="1" applyNumberFormat="1" applyFont="1" applyFill="1" applyBorder="1" applyAlignment="1">
      <alignment vertical="center"/>
    </xf>
    <xf numFmtId="0" fontId="5" fillId="0" borderId="104" xfId="0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72" fontId="5" fillId="0" borderId="0" xfId="0" applyNumberFormat="1" applyFont="1" applyAlignment="1">
      <alignment vertical="center"/>
    </xf>
    <xf numFmtId="0" fontId="5" fillId="0" borderId="8" xfId="0" applyFont="1" applyBorder="1" applyAlignment="1">
      <alignment vertical="center"/>
    </xf>
    <xf numFmtId="49" fontId="5" fillId="0" borderId="50" xfId="0" applyNumberFormat="1" applyFont="1" applyBorder="1" applyAlignment="1">
      <alignment horizontal="center" vertical="center"/>
    </xf>
    <xf numFmtId="166" fontId="5" fillId="0" borderId="9" xfId="1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65" fontId="6" fillId="0" borderId="86" xfId="2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9" fontId="13" fillId="0" borderId="7" xfId="0" applyNumberFormat="1" applyFont="1" applyBorder="1"/>
    <xf numFmtId="49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1604" applyFont="1" applyBorder="1" applyAlignment="1">
      <alignment horizontal="left"/>
    </xf>
    <xf numFmtId="0" fontId="11" fillId="0" borderId="7" xfId="1604" applyFont="1" applyBorder="1" applyAlignment="1">
      <alignment horizontal="center"/>
    </xf>
    <xf numFmtId="0" fontId="5" fillId="0" borderId="8" xfId="0" applyFont="1" applyBorder="1"/>
    <xf numFmtId="37" fontId="5" fillId="0" borderId="0" xfId="0" applyNumberFormat="1" applyFont="1" applyAlignment="1">
      <alignment vertical="center"/>
    </xf>
    <xf numFmtId="37" fontId="5" fillId="0" borderId="9" xfId="0" applyNumberFormat="1" applyFont="1" applyBorder="1" applyAlignment="1">
      <alignment vertical="center"/>
    </xf>
    <xf numFmtId="37" fontId="6" fillId="0" borderId="0" xfId="0" applyNumberFormat="1" applyFont="1" applyAlignment="1">
      <alignment horizontal="center" vertical="center"/>
    </xf>
    <xf numFmtId="37" fontId="6" fillId="0" borderId="105" xfId="0" applyNumberFormat="1" applyFont="1" applyBorder="1" applyAlignment="1">
      <alignment horizontal="center" vertical="center"/>
    </xf>
    <xf numFmtId="37" fontId="6" fillId="0" borderId="106" xfId="0" applyNumberFormat="1" applyFont="1" applyBorder="1" applyAlignment="1">
      <alignment vertical="center"/>
    </xf>
    <xf numFmtId="37" fontId="6" fillId="0" borderId="6" xfId="0" quotePrefix="1" applyNumberFormat="1" applyFont="1" applyBorder="1" applyAlignment="1">
      <alignment horizontal="center" vertical="center"/>
    </xf>
    <xf numFmtId="37" fontId="6" fillId="0" borderId="106" xfId="0" quotePrefix="1" applyNumberFormat="1" applyFont="1" applyBorder="1" applyAlignment="1">
      <alignment horizontal="center" vertical="center"/>
    </xf>
    <xf numFmtId="37" fontId="6" fillId="0" borderId="107" xfId="0" quotePrefix="1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108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86" xfId="12" applyNumberFormat="1" applyFont="1" applyBorder="1" applyAlignment="1">
      <alignment horizontal="center" vertical="center"/>
    </xf>
    <xf numFmtId="37" fontId="6" fillId="0" borderId="8" xfId="0" quotePrefix="1" applyNumberFormat="1" applyFont="1" applyBorder="1" applyAlignment="1">
      <alignment horizontal="center" vertical="center"/>
    </xf>
    <xf numFmtId="37" fontId="6" fillId="0" borderId="109" xfId="0" applyNumberFormat="1" applyFont="1" applyBorder="1" applyAlignment="1">
      <alignment horizontal="center" vertical="center"/>
    </xf>
    <xf numFmtId="37" fontId="6" fillId="0" borderId="9" xfId="0" applyNumberFormat="1" applyFont="1" applyBorder="1" applyAlignment="1">
      <alignment horizontal="center" vertical="center"/>
    </xf>
    <xf numFmtId="37" fontId="6" fillId="0" borderId="49" xfId="12" applyNumberFormat="1" applyFont="1" applyBorder="1" applyAlignment="1">
      <alignment horizontal="center" vertical="center"/>
    </xf>
    <xf numFmtId="37" fontId="6" fillId="0" borderId="104" xfId="0" applyNumberFormat="1" applyFont="1" applyBorder="1" applyAlignment="1">
      <alignment horizontal="center" vertical="center"/>
    </xf>
    <xf numFmtId="37" fontId="5" fillId="0" borderId="108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5" fillId="0" borderId="86" xfId="12" applyNumberFormat="1" applyFont="1" applyBorder="1" applyAlignment="1">
      <alignment horizontal="center" vertical="center"/>
    </xf>
    <xf numFmtId="37" fontId="5" fillId="0" borderId="8" xfId="12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39" fontId="5" fillId="0" borderId="0" xfId="0" applyNumberFormat="1" applyFont="1" applyAlignment="1">
      <alignment vertical="center"/>
    </xf>
    <xf numFmtId="43" fontId="5" fillId="0" borderId="0" xfId="1" applyFont="1" applyFill="1" applyAlignment="1">
      <alignment vertical="center"/>
    </xf>
    <xf numFmtId="173" fontId="5" fillId="0" borderId="108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vertical="center"/>
    </xf>
    <xf numFmtId="37" fontId="5" fillId="0" borderId="86" xfId="0" applyNumberFormat="1" applyFont="1" applyBorder="1" applyAlignment="1">
      <alignment vertical="center"/>
    </xf>
    <xf numFmtId="37" fontId="5" fillId="0" borderId="8" xfId="0" applyNumberFormat="1" applyFont="1" applyBorder="1" applyAlignment="1">
      <alignment vertical="center"/>
    </xf>
    <xf numFmtId="165" fontId="6" fillId="0" borderId="48" xfId="2" applyNumberFormat="1" applyFont="1" applyBorder="1" applyAlignment="1">
      <alignment vertical="center"/>
    </xf>
    <xf numFmtId="37" fontId="5" fillId="0" borderId="8" xfId="0" applyNumberFormat="1" applyFont="1" applyBorder="1" applyAlignment="1">
      <alignment horizontal="center" vertical="center"/>
    </xf>
    <xf numFmtId="37" fontId="5" fillId="0" borderId="109" xfId="0" applyNumberFormat="1" applyFont="1" applyBorder="1" applyAlignment="1">
      <alignment vertical="center"/>
    </xf>
    <xf numFmtId="37" fontId="5" fillId="0" borderId="49" xfId="1" applyNumberFormat="1" applyFont="1" applyBorder="1" applyAlignment="1">
      <alignment vertical="center"/>
    </xf>
    <xf numFmtId="0" fontId="6" fillId="0" borderId="96" xfId="0" applyFont="1" applyBorder="1" applyAlignment="1">
      <alignment horizontal="center" vertical="center"/>
    </xf>
    <xf numFmtId="37" fontId="5" fillId="0" borderId="104" xfId="0" applyNumberFormat="1" applyFont="1" applyBorder="1" applyAlignment="1">
      <alignment vertical="center"/>
    </xf>
    <xf numFmtId="37" fontId="5" fillId="0" borderId="7" xfId="0" applyNumberFormat="1" applyFont="1" applyBorder="1" applyAlignment="1">
      <alignment vertical="center"/>
    </xf>
    <xf numFmtId="37" fontId="5" fillId="0" borderId="0" xfId="1" applyNumberFormat="1" applyFont="1" applyBorder="1" applyAlignment="1">
      <alignment vertical="center"/>
    </xf>
    <xf numFmtId="37" fontId="5" fillId="0" borderId="0" xfId="1" applyNumberFormat="1" applyFont="1" applyFill="1" applyBorder="1" applyAlignment="1">
      <alignment vertical="center"/>
    </xf>
    <xf numFmtId="37" fontId="13" fillId="0" borderId="7" xfId="0" applyNumberFormat="1" applyFont="1" applyBorder="1" applyAlignment="1">
      <alignment horizontal="left" vertical="center"/>
    </xf>
    <xf numFmtId="165" fontId="6" fillId="0" borderId="1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37" fontId="5" fillId="0" borderId="50" xfId="0" applyNumberFormat="1" applyFont="1" applyBorder="1" applyAlignment="1">
      <alignment vertical="center"/>
    </xf>
    <xf numFmtId="37" fontId="5" fillId="0" borderId="9" xfId="0" applyNumberFormat="1" applyFont="1" applyBorder="1" applyAlignment="1">
      <alignment horizontal="left" vertical="center"/>
    </xf>
    <xf numFmtId="173" fontId="5" fillId="0" borderId="0" xfId="0" applyNumberFormat="1" applyFont="1" applyAlignment="1">
      <alignment vertical="center"/>
    </xf>
    <xf numFmtId="37" fontId="11" fillId="0" borderId="0" xfId="0" applyNumberFormat="1" applyFont="1" applyAlignment="1">
      <alignment horizontal="center" vertical="center"/>
    </xf>
    <xf numFmtId="37" fontId="6" fillId="0" borderId="0" xfId="56" applyNumberFormat="1" applyFont="1" applyAlignment="1" applyProtection="1">
      <alignment horizontal="center" vertical="center"/>
      <protection locked="0"/>
    </xf>
    <xf numFmtId="37" fontId="6" fillId="0" borderId="0" xfId="56" applyNumberFormat="1" applyFont="1" applyAlignment="1">
      <alignment vertical="center"/>
    </xf>
    <xf numFmtId="165" fontId="6" fillId="0" borderId="1" xfId="2" applyNumberFormat="1" applyFont="1" applyFill="1" applyBorder="1"/>
    <xf numFmtId="15" fontId="5" fillId="0" borderId="86" xfId="4" quotePrefix="1" applyNumberFormat="1" applyFont="1" applyBorder="1" applyAlignment="1">
      <alignment horizontal="left" vertical="center"/>
    </xf>
    <xf numFmtId="10" fontId="5" fillId="0" borderId="0" xfId="3853" applyNumberFormat="1" applyFont="1" applyAlignment="1">
      <alignment horizontal="center" vertical="center"/>
    </xf>
    <xf numFmtId="6" fontId="6" fillId="0" borderId="0" xfId="4" quotePrefix="1" applyNumberFormat="1" applyFont="1" applyAlignment="1">
      <alignment horizontal="centerContinuous" vertical="center"/>
    </xf>
    <xf numFmtId="210" fontId="5" fillId="0" borderId="0" xfId="4" applyNumberFormat="1" applyFont="1" applyAlignment="1">
      <alignment horizontal="center" vertical="center"/>
    </xf>
    <xf numFmtId="1" fontId="5" fillId="0" borderId="0" xfId="4" applyNumberFormat="1" applyFont="1" applyAlignment="1">
      <alignment vertical="center"/>
    </xf>
    <xf numFmtId="166" fontId="5" fillId="0" borderId="86" xfId="4" applyNumberFormat="1" applyFont="1" applyBorder="1" applyAlignment="1">
      <alignment horizontal="center" vertical="center"/>
    </xf>
    <xf numFmtId="166" fontId="6" fillId="0" borderId="0" xfId="2408" applyNumberFormat="1" applyFont="1" applyBorder="1" applyAlignment="1">
      <alignment vertical="center"/>
    </xf>
    <xf numFmtId="174" fontId="5" fillId="0" borderId="0" xfId="4" applyNumberFormat="1" applyFont="1" applyAlignment="1">
      <alignment vertical="center"/>
    </xf>
    <xf numFmtId="166" fontId="27" fillId="0" borderId="86" xfId="1" applyNumberFormat="1" applyFont="1" applyBorder="1" applyAlignment="1">
      <alignment vertical="center"/>
    </xf>
    <xf numFmtId="166" fontId="5" fillId="0" borderId="0" xfId="2408" applyNumberFormat="1" applyFont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5" fontId="5" fillId="0" borderId="0" xfId="4" applyNumberFormat="1" applyFont="1" applyAlignment="1" applyProtection="1">
      <alignment vertical="center"/>
      <protection locked="0"/>
    </xf>
    <xf numFmtId="0" fontId="158" fillId="0" borderId="0" xfId="4" applyFont="1" applyAlignment="1">
      <alignment horizontal="center" vertical="center"/>
    </xf>
    <xf numFmtId="165" fontId="5" fillId="3" borderId="0" xfId="2" applyNumberFormat="1" applyFont="1" applyFill="1" applyAlignment="1">
      <alignment vertical="center"/>
    </xf>
    <xf numFmtId="166" fontId="5" fillId="3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Fill="1" applyAlignment="1">
      <alignment horizontal="center" vertical="center"/>
    </xf>
    <xf numFmtId="165" fontId="5" fillId="0" borderId="0" xfId="21" applyNumberFormat="1" applyFont="1" applyAlignment="1">
      <alignment horizontal="center" vertical="center"/>
    </xf>
    <xf numFmtId="165" fontId="5" fillId="0" borderId="1" xfId="21" applyNumberFormat="1" applyFont="1" applyBorder="1" applyAlignment="1">
      <alignment vertical="center"/>
    </xf>
    <xf numFmtId="165" fontId="5" fillId="0" borderId="0" xfId="21" applyNumberFormat="1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165" fontId="5" fillId="0" borderId="0" xfId="21" applyNumberFormat="1" applyFont="1" applyBorder="1" applyAlignment="1" applyProtection="1">
      <alignment vertical="center"/>
      <protection locked="0"/>
    </xf>
    <xf numFmtId="5" fontId="6" fillId="0" borderId="0" xfId="4" applyNumberFormat="1" applyFont="1" applyAlignment="1" applyProtection="1">
      <alignment horizontal="center" vertical="center"/>
      <protection locked="0"/>
    </xf>
    <xf numFmtId="165" fontId="5" fillId="3" borderId="0" xfId="21" applyNumberFormat="1" applyFont="1" applyFill="1" applyAlignment="1" applyProtection="1">
      <alignment vertical="center"/>
      <protection locked="0"/>
    </xf>
    <xf numFmtId="5" fontId="5" fillId="0" borderId="0" xfId="4" applyNumberFormat="1" applyFont="1" applyAlignment="1">
      <alignment horizontal="center" vertical="center"/>
    </xf>
    <xf numFmtId="5" fontId="5" fillId="0" borderId="0" xfId="4" applyNumberFormat="1" applyFont="1" applyAlignment="1" applyProtection="1">
      <alignment horizontal="center" vertical="center"/>
      <protection locked="0"/>
    </xf>
    <xf numFmtId="10" fontId="5" fillId="0" borderId="0" xfId="4" applyNumberFormat="1" applyFont="1" applyAlignment="1" applyProtection="1">
      <alignment vertical="center"/>
      <protection locked="0"/>
    </xf>
    <xf numFmtId="10" fontId="5" fillId="0" borderId="0" xfId="4" applyNumberFormat="1" applyFont="1" applyAlignment="1" applyProtection="1">
      <alignment horizontal="center" vertical="center"/>
      <protection locked="0"/>
    </xf>
    <xf numFmtId="165" fontId="5" fillId="0" borderId="0" xfId="21" applyNumberFormat="1" applyFont="1" applyBorder="1" applyAlignment="1" applyProtection="1">
      <alignment horizontal="right" vertical="center"/>
      <protection locked="0"/>
    </xf>
    <xf numFmtId="165" fontId="5" fillId="0" borderId="1" xfId="21" applyNumberFormat="1" applyFont="1" applyBorder="1" applyAlignment="1" applyProtection="1">
      <alignment horizontal="right" vertical="center"/>
      <protection locked="0"/>
    </xf>
    <xf numFmtId="166" fontId="5" fillId="0" borderId="0" xfId="2408" applyNumberFormat="1" applyFont="1" applyBorder="1" applyAlignment="1" applyProtection="1">
      <alignment vertical="center"/>
      <protection locked="0"/>
    </xf>
    <xf numFmtId="166" fontId="5" fillId="0" borderId="0" xfId="2408" applyNumberFormat="1" applyFont="1" applyAlignment="1" applyProtection="1">
      <alignment vertical="center"/>
      <protection locked="0"/>
    </xf>
    <xf numFmtId="0" fontId="10" fillId="0" borderId="0" xfId="4" applyFont="1" applyAlignment="1">
      <alignment vertical="center"/>
    </xf>
    <xf numFmtId="165" fontId="5" fillId="2" borderId="0" xfId="21" applyNumberFormat="1" applyFont="1" applyFill="1" applyAlignment="1" applyProtection="1">
      <alignment vertical="center"/>
      <protection locked="0"/>
    </xf>
    <xf numFmtId="165" fontId="5" fillId="0" borderId="0" xfId="21" applyNumberFormat="1" applyFont="1" applyFill="1" applyBorder="1" applyAlignment="1" applyProtection="1">
      <alignment vertical="center"/>
      <protection locked="0"/>
    </xf>
    <xf numFmtId="166" fontId="5" fillId="2" borderId="0" xfId="2408" applyNumberFormat="1" applyFont="1" applyFill="1" applyBorder="1" applyAlignment="1" applyProtection="1">
      <alignment horizontal="right" vertical="center"/>
      <protection locked="0"/>
    </xf>
    <xf numFmtId="166" fontId="5" fillId="0" borderId="0" xfId="2408" applyNumberFormat="1" applyFont="1" applyFill="1" applyBorder="1" applyAlignment="1" applyProtection="1">
      <alignment vertical="center"/>
      <protection locked="0"/>
    </xf>
    <xf numFmtId="165" fontId="5" fillId="0" borderId="0" xfId="21" applyNumberFormat="1" applyFont="1" applyAlignment="1">
      <alignment horizontal="right" vertical="center"/>
    </xf>
    <xf numFmtId="10" fontId="5" fillId="0" borderId="0" xfId="3853" applyNumberFormat="1" applyFont="1" applyBorder="1" applyAlignment="1">
      <alignment vertical="center"/>
    </xf>
    <xf numFmtId="165" fontId="5" fillId="0" borderId="0" xfId="2" applyNumberFormat="1" applyFont="1" applyFill="1" applyAlignment="1" applyProtection="1">
      <alignment vertical="center"/>
      <protection locked="0"/>
    </xf>
    <xf numFmtId="165" fontId="5" fillId="0" borderId="0" xfId="2" applyNumberFormat="1" applyFont="1" applyBorder="1" applyAlignment="1">
      <alignment vertical="center"/>
    </xf>
    <xf numFmtId="0" fontId="5" fillId="0" borderId="0" xfId="2606" applyFont="1" applyAlignment="1">
      <alignment vertical="center"/>
    </xf>
    <xf numFmtId="0" fontId="11" fillId="0" borderId="0" xfId="4" quotePrefix="1" applyFont="1" applyAlignment="1">
      <alignment horizontal="center" vertical="center"/>
    </xf>
    <xf numFmtId="165" fontId="5" fillId="0" borderId="0" xfId="21" applyNumberFormat="1" applyFont="1" applyFill="1" applyAlignment="1" applyProtection="1">
      <alignment vertical="center"/>
      <protection locked="0"/>
    </xf>
    <xf numFmtId="5" fontId="157" fillId="0" borderId="0" xfId="4" applyNumberFormat="1" applyFont="1" applyAlignment="1">
      <alignment horizontal="center" vertical="center"/>
    </xf>
    <xf numFmtId="166" fontId="5" fillId="0" borderId="0" xfId="2408" applyNumberFormat="1" applyFont="1" applyFill="1" applyAlignment="1" applyProtection="1">
      <alignment vertical="center"/>
      <protection locked="0"/>
    </xf>
    <xf numFmtId="165" fontId="5" fillId="0" borderId="0" xfId="2" applyNumberFormat="1" applyFont="1" applyAlignment="1">
      <alignment vertical="center"/>
    </xf>
    <xf numFmtId="211" fontId="5" fillId="0" borderId="0" xfId="4" applyNumberFormat="1" applyFont="1" applyAlignment="1">
      <alignment vertical="center"/>
    </xf>
    <xf numFmtId="0" fontId="8" fillId="0" borderId="0" xfId="4" applyFont="1" applyAlignment="1">
      <alignment horizontal="center" vertical="center"/>
    </xf>
    <xf numFmtId="0" fontId="5" fillId="0" borderId="9" xfId="4" applyFont="1" applyBorder="1" applyAlignment="1">
      <alignment vertical="center"/>
    </xf>
    <xf numFmtId="0" fontId="5" fillId="0" borderId="9" xfId="4" applyFont="1" applyBorder="1" applyAlignment="1">
      <alignment horizontal="right" vertical="center"/>
    </xf>
    <xf numFmtId="5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1" applyNumberFormat="1" applyFont="1" applyBorder="1" applyAlignment="1">
      <alignment horizontal="right" vertical="center"/>
    </xf>
    <xf numFmtId="0" fontId="5" fillId="0" borderId="0" xfId="6107" applyFont="1"/>
    <xf numFmtId="165" fontId="5" fillId="0" borderId="0" xfId="21" applyNumberFormat="1" applyFont="1" applyFill="1" applyProtection="1">
      <protection locked="0"/>
    </xf>
    <xf numFmtId="0" fontId="5" fillId="0" borderId="9" xfId="6107" applyFont="1" applyBorder="1"/>
    <xf numFmtId="0" fontId="6" fillId="0" borderId="9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166" fontId="6" fillId="0" borderId="0" xfId="2408" applyNumberFormat="1" applyFont="1" applyAlignment="1" applyProtection="1">
      <alignment vertical="center"/>
      <protection locked="0"/>
    </xf>
    <xf numFmtId="166" fontId="5" fillId="3" borderId="0" xfId="2408" applyNumberFormat="1" applyFont="1" applyFill="1" applyBorder="1" applyAlignment="1" applyProtection="1">
      <alignment vertical="center"/>
      <protection locked="0"/>
    </xf>
    <xf numFmtId="166" fontId="5" fillId="3" borderId="0" xfId="2408" applyNumberFormat="1" applyFont="1" applyFill="1" applyAlignment="1" applyProtection="1">
      <alignment vertical="center"/>
      <protection locked="0"/>
    </xf>
    <xf numFmtId="166" fontId="5" fillId="0" borderId="0" xfId="2408" applyNumberFormat="1" applyFont="1" applyAlignment="1" applyProtection="1">
      <alignment horizontal="right" vertical="center"/>
      <protection locked="0"/>
    </xf>
    <xf numFmtId="5" fontId="9" fillId="0" borderId="0" xfId="4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>
      <alignment horizontal="center" vertical="center"/>
    </xf>
    <xf numFmtId="165" fontId="5" fillId="3" borderId="0" xfId="2" applyNumberFormat="1" applyFont="1" applyFill="1" applyAlignment="1" applyProtection="1">
      <alignment vertical="center"/>
      <protection locked="0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 applyProtection="1">
      <alignment vertical="center"/>
      <protection locked="0"/>
    </xf>
    <xf numFmtId="166" fontId="5" fillId="3" borderId="0" xfId="1" applyNumberFormat="1" applyFont="1" applyFill="1" applyAlignment="1" applyProtection="1">
      <alignment vertical="center"/>
      <protection locked="0"/>
    </xf>
    <xf numFmtId="166" fontId="5" fillId="0" borderId="0" xfId="1" applyNumberFormat="1" applyFont="1" applyAlignment="1" applyProtection="1">
      <alignment vertical="center"/>
      <protection locked="0"/>
    </xf>
    <xf numFmtId="166" fontId="5" fillId="0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  <protection locked="0"/>
    </xf>
    <xf numFmtId="165" fontId="5" fillId="0" borderId="0" xfId="2" applyNumberFormat="1" applyFont="1" applyAlignment="1">
      <alignment horizontal="center" vertical="center"/>
    </xf>
    <xf numFmtId="10" fontId="5" fillId="0" borderId="0" xfId="3" applyNumberFormat="1" applyFont="1" applyBorder="1" applyAlignment="1" applyProtection="1">
      <alignment horizontal="center" vertical="center"/>
      <protection locked="0"/>
    </xf>
    <xf numFmtId="10" fontId="5" fillId="0" borderId="0" xfId="3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/>
    </xf>
    <xf numFmtId="0" fontId="29" fillId="0" borderId="110" xfId="1962" applyFont="1" applyBorder="1" applyAlignment="1">
      <alignment horizontal="center"/>
    </xf>
    <xf numFmtId="0" fontId="5" fillId="0" borderId="7" xfId="37887" quotePrefix="1" applyNumberFormat="1" applyFont="1" applyFill="1" applyBorder="1" applyAlignment="1">
      <alignment vertical="center"/>
    </xf>
    <xf numFmtId="0" fontId="27" fillId="0" borderId="7" xfId="1962" applyFont="1" applyBorder="1"/>
    <xf numFmtId="0" fontId="29" fillId="0" borderId="7" xfId="1962" applyFont="1" applyBorder="1"/>
    <xf numFmtId="0" fontId="29" fillId="0" borderId="50" xfId="1962" applyFont="1" applyBorder="1"/>
    <xf numFmtId="0" fontId="29" fillId="0" borderId="4" xfId="1962" applyFont="1" applyBorder="1"/>
    <xf numFmtId="0" fontId="29" fillId="0" borderId="113" xfId="1962" applyFont="1" applyBorder="1"/>
    <xf numFmtId="0" fontId="5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5" fontId="11" fillId="0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86" xfId="37039" applyNumberFormat="1" applyFont="1" applyBorder="1" applyAlignment="1">
      <alignment horizontal="center"/>
    </xf>
    <xf numFmtId="41" fontId="5" fillId="0" borderId="86" xfId="3857" applyFont="1" applyBorder="1" applyAlignment="1">
      <alignment horizontal="center"/>
    </xf>
    <xf numFmtId="165" fontId="5" fillId="0" borderId="86" xfId="37039" applyNumberFormat="1" applyFont="1" applyFill="1" applyBorder="1" applyAlignment="1">
      <alignment horizontal="center"/>
    </xf>
    <xf numFmtId="0" fontId="27" fillId="0" borderId="0" xfId="0" applyFont="1" applyAlignment="1">
      <alignment vertical="center" wrapText="1"/>
    </xf>
    <xf numFmtId="165" fontId="5" fillId="0" borderId="0" xfId="21" applyNumberFormat="1" applyFont="1" applyBorder="1" applyAlignment="1" applyProtection="1">
      <alignment horizontal="center" vertical="center"/>
      <protection locked="0"/>
    </xf>
    <xf numFmtId="166" fontId="5" fillId="0" borderId="0" xfId="2408" applyNumberFormat="1" applyFont="1" applyBorder="1" applyAlignment="1" applyProtection="1">
      <alignment horizontal="center" vertical="center"/>
      <protection locked="0"/>
    </xf>
    <xf numFmtId="165" fontId="5" fillId="3" borderId="0" xfId="21" applyNumberFormat="1" applyFont="1" applyFill="1" applyBorder="1" applyAlignment="1" applyProtection="1">
      <alignment vertical="center"/>
      <protection locked="0"/>
    </xf>
    <xf numFmtId="5" fontId="9" fillId="0" borderId="0" xfId="4" applyNumberFormat="1" applyFont="1" applyAlignment="1">
      <alignment horizontal="center" vertical="center"/>
    </xf>
    <xf numFmtId="165" fontId="5" fillId="3" borderId="0" xfId="2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166" fontId="5" fillId="0" borderId="0" xfId="2408" applyNumberFormat="1" applyFont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right" vertical="center"/>
      <protection locked="0"/>
    </xf>
    <xf numFmtId="165" fontId="5" fillId="0" borderId="0" xfId="21" applyNumberFormat="1" applyFont="1" applyAlignment="1" applyProtection="1">
      <alignment horizontal="right" vertical="center"/>
      <protection locked="0"/>
    </xf>
    <xf numFmtId="166" fontId="5" fillId="0" borderId="0" xfId="2408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 wrapText="1"/>
    </xf>
    <xf numFmtId="0" fontId="10" fillId="0" borderId="0" xfId="4" applyFont="1" applyAlignment="1">
      <alignment horizontal="center" vertical="center"/>
    </xf>
    <xf numFmtId="0" fontId="5" fillId="0" borderId="0" xfId="21" applyNumberFormat="1" applyFont="1" applyAlignment="1">
      <alignment horizontal="center" vertical="center"/>
    </xf>
    <xf numFmtId="0" fontId="5" fillId="0" borderId="0" xfId="21" applyNumberFormat="1" applyFont="1" applyFill="1" applyAlignment="1">
      <alignment horizontal="center" vertical="center"/>
    </xf>
    <xf numFmtId="0" fontId="5" fillId="0" borderId="0" xfId="21" applyNumberFormat="1" applyFont="1" applyFill="1" applyBorder="1" applyAlignment="1">
      <alignment horizontal="center" vertical="center"/>
    </xf>
    <xf numFmtId="0" fontId="5" fillId="0" borderId="0" xfId="21" applyNumberFormat="1" applyFont="1" applyFill="1" applyAlignment="1">
      <alignment horizontal="center" vertical="center" wrapText="1"/>
    </xf>
    <xf numFmtId="165" fontId="6" fillId="0" borderId="0" xfId="21" applyNumberFormat="1" applyFont="1" applyBorder="1" applyAlignment="1">
      <alignment vertical="center"/>
    </xf>
    <xf numFmtId="165" fontId="9" fillId="0" borderId="0" xfId="21" applyNumberFormat="1" applyFont="1" applyAlignment="1">
      <alignment horizontal="left" vertical="center"/>
    </xf>
    <xf numFmtId="5" fontId="5" fillId="0" borderId="0" xfId="4" applyNumberFormat="1" applyFont="1" applyAlignment="1">
      <alignment vertical="center"/>
    </xf>
    <xf numFmtId="10" fontId="5" fillId="0" borderId="0" xfId="4" applyNumberFormat="1" applyFont="1" applyAlignment="1">
      <alignment vertical="center"/>
    </xf>
    <xf numFmtId="166" fontId="5" fillId="0" borderId="0" xfId="2408" applyNumberFormat="1" applyFont="1" applyBorder="1" applyAlignment="1">
      <alignment horizontal="center" vertical="center"/>
    </xf>
    <xf numFmtId="0" fontId="5" fillId="0" borderId="0" xfId="21" applyNumberFormat="1" applyFont="1" applyBorder="1" applyAlignment="1">
      <alignment horizontal="center" vertical="center"/>
    </xf>
    <xf numFmtId="166" fontId="5" fillId="0" borderId="0" xfId="2408" applyNumberFormat="1" applyFont="1" applyBorder="1" applyAlignment="1">
      <alignment horizontal="right" vertical="center"/>
    </xf>
    <xf numFmtId="5" fontId="5" fillId="0" borderId="0" xfId="4" applyNumberFormat="1" applyFont="1" applyAlignment="1">
      <alignment horizontal="right" vertical="center"/>
    </xf>
    <xf numFmtId="166" fontId="5" fillId="0" borderId="0" xfId="2408" applyNumberFormat="1" applyFont="1" applyAlignment="1">
      <alignment horizontal="right" vertical="center"/>
    </xf>
    <xf numFmtId="166" fontId="5" fillId="0" borderId="0" xfId="2408" applyNumberFormat="1" applyFont="1" applyAlignment="1" applyProtection="1">
      <alignment vertical="center"/>
    </xf>
    <xf numFmtId="166" fontId="5" fillId="0" borderId="0" xfId="2408" applyNumberFormat="1" applyFont="1" applyAlignment="1" applyProtection="1">
      <alignment horizontal="right" vertical="center"/>
    </xf>
    <xf numFmtId="10" fontId="5" fillId="0" borderId="0" xfId="3853" applyNumberFormat="1" applyFont="1" applyAlignment="1" applyProtection="1">
      <alignment horizontal="center" vertical="center"/>
    </xf>
    <xf numFmtId="165" fontId="5" fillId="0" borderId="1" xfId="21" applyNumberFormat="1" applyFont="1" applyBorder="1" applyAlignment="1" applyProtection="1">
      <alignment horizontal="right" vertical="center"/>
    </xf>
    <xf numFmtId="5" fontId="5" fillId="0" borderId="0" xfId="3853" applyNumberFormat="1" applyFont="1" applyAlignment="1" applyProtection="1">
      <alignment vertical="center"/>
    </xf>
    <xf numFmtId="5" fontId="5" fillId="0" borderId="0" xfId="3853" applyNumberFormat="1" applyFont="1" applyAlignment="1" applyProtection="1">
      <alignment horizontal="right" vertical="center"/>
    </xf>
    <xf numFmtId="10" fontId="5" fillId="0" borderId="0" xfId="3853" applyNumberFormat="1" applyFont="1" applyAlignment="1" applyProtection="1">
      <alignment vertical="center"/>
    </xf>
    <xf numFmtId="10" fontId="5" fillId="0" borderId="1" xfId="21" applyNumberFormat="1" applyFont="1" applyBorder="1" applyAlignment="1" applyProtection="1">
      <alignment horizontal="right" vertical="center"/>
    </xf>
    <xf numFmtId="165" fontId="5" fillId="0" borderId="0" xfId="21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166" fontId="5" fillId="0" borderId="0" xfId="1" applyNumberFormat="1" applyFont="1" applyBorder="1" applyAlignment="1" applyProtection="1">
      <alignment vertical="center"/>
      <protection locked="0"/>
    </xf>
    <xf numFmtId="166" fontId="5" fillId="0" borderId="0" xfId="0" applyNumberFormat="1" applyFont="1" applyAlignment="1">
      <alignment vertical="center"/>
    </xf>
    <xf numFmtId="165" fontId="5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165" fontId="5" fillId="0" borderId="0" xfId="2" applyNumberFormat="1" applyFont="1" applyBorder="1" applyAlignment="1">
      <alignment horizontal="right" vertical="center"/>
    </xf>
    <xf numFmtId="5" fontId="5" fillId="0" borderId="0" xfId="0" applyNumberFormat="1" applyFont="1" applyAlignment="1">
      <alignment horizontal="right" vertical="center"/>
    </xf>
    <xf numFmtId="165" fontId="5" fillId="2" borderId="0" xfId="2" applyNumberFormat="1" applyFont="1" applyFill="1" applyAlignment="1">
      <alignment horizontal="right" vertical="center"/>
    </xf>
    <xf numFmtId="166" fontId="5" fillId="111" borderId="0" xfId="1" applyNumberFormat="1" applyFont="1" applyFill="1" applyAlignment="1">
      <alignment horizontal="right" vertical="center"/>
    </xf>
    <xf numFmtId="166" fontId="5" fillId="2" borderId="0" xfId="1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vertical="center"/>
    </xf>
    <xf numFmtId="166" fontId="5" fillId="2" borderId="0" xfId="1" applyNumberFormat="1" applyFont="1" applyFill="1" applyAlignment="1">
      <alignment vertical="center"/>
    </xf>
    <xf numFmtId="10" fontId="5" fillId="0" borderId="1" xfId="2" applyNumberFormat="1" applyFont="1" applyBorder="1" applyAlignment="1">
      <alignment horizontal="right" vertical="center"/>
    </xf>
    <xf numFmtId="165" fontId="5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165" fontId="5" fillId="0" borderId="1" xfId="2" applyNumberFormat="1" applyFont="1" applyFill="1" applyBorder="1" applyAlignment="1">
      <alignment horizontal="right" vertical="center"/>
    </xf>
    <xf numFmtId="0" fontId="6" fillId="0" borderId="0" xfId="2083" applyFont="1" applyAlignment="1">
      <alignment horizontal="left" vertical="center"/>
    </xf>
    <xf numFmtId="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7" fillId="0" borderId="0" xfId="0" applyFont="1" applyAlignment="1">
      <alignment horizontal="center" vertical="center" wrapText="1"/>
    </xf>
    <xf numFmtId="10" fontId="5" fillId="0" borderId="0" xfId="3" applyNumberFormat="1" applyFont="1" applyBorder="1" applyAlignment="1">
      <alignment horizontal="right" vertical="center"/>
    </xf>
    <xf numFmtId="166" fontId="5" fillId="0" borderId="0" xfId="1" applyNumberFormat="1" applyFont="1" applyFill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0" fontId="5" fillId="0" borderId="0" xfId="3" applyNumberFormat="1" applyFont="1" applyFill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0" fontId="5" fillId="0" borderId="0" xfId="3" applyNumberFormat="1" applyFont="1" applyAlignment="1">
      <alignment horizontal="right" vertical="center"/>
    </xf>
    <xf numFmtId="166" fontId="5" fillId="0" borderId="0" xfId="1" applyNumberFormat="1" applyFont="1" applyFill="1" applyAlignment="1">
      <alignment vertical="center"/>
    </xf>
    <xf numFmtId="10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75" fontId="5" fillId="0" borderId="0" xfId="0" applyNumberFormat="1" applyFont="1" applyAlignment="1">
      <alignment horizontal="center" vertical="center" wrapText="1"/>
    </xf>
    <xf numFmtId="10" fontId="5" fillId="2" borderId="0" xfId="3" applyNumberFormat="1" applyFont="1" applyFill="1" applyAlignment="1">
      <alignment horizontal="right" vertical="center"/>
    </xf>
    <xf numFmtId="165" fontId="5" fillId="2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0" fontId="5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67" fontId="5" fillId="0" borderId="0" xfId="3" applyNumberFormat="1" applyFont="1" applyAlignment="1">
      <alignment horizontal="right" vertical="center"/>
    </xf>
    <xf numFmtId="167" fontId="6" fillId="0" borderId="0" xfId="3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175" fontId="5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 wrapText="1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0" borderId="0" xfId="2" applyNumberFormat="1" applyFont="1" applyFill="1" applyAlignment="1">
      <alignment horizontal="right" vertical="center"/>
    </xf>
    <xf numFmtId="167" fontId="5" fillId="0" borderId="0" xfId="3" applyNumberFormat="1" applyFont="1" applyFill="1" applyAlignment="1">
      <alignment horizontal="right" vertical="center"/>
    </xf>
    <xf numFmtId="9" fontId="5" fillId="0" borderId="0" xfId="3" applyFont="1" applyAlignment="1">
      <alignment horizontal="right" vertical="center"/>
    </xf>
    <xf numFmtId="167" fontId="5" fillId="0" borderId="0" xfId="3" applyNumberFormat="1" applyFont="1" applyBorder="1" applyAlignment="1">
      <alignment horizontal="right" vertical="center"/>
    </xf>
    <xf numFmtId="167" fontId="6" fillId="0" borderId="0" xfId="3" applyNumberFormat="1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5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 wrapText="1"/>
    </xf>
    <xf numFmtId="10" fontId="5" fillId="0" borderId="0" xfId="3" quotePrefix="1" applyNumberFormat="1" applyFont="1" applyBorder="1" applyAlignment="1">
      <alignment horizontal="right"/>
    </xf>
    <xf numFmtId="0" fontId="6" fillId="0" borderId="110" xfId="1567" applyFont="1" applyBorder="1" applyAlignment="1">
      <alignment horizontal="center" wrapText="1"/>
    </xf>
    <xf numFmtId="168" fontId="5" fillId="0" borderId="86" xfId="4" applyNumberFormat="1" applyFont="1" applyBorder="1" applyAlignment="1">
      <alignment horizontal="center" vertical="center"/>
    </xf>
    <xf numFmtId="166" fontId="5" fillId="0" borderId="86" xfId="1" applyNumberFormat="1" applyFont="1" applyBorder="1" applyAlignment="1">
      <alignment horizontal="center" vertical="center"/>
    </xf>
    <xf numFmtId="165" fontId="5" fillId="0" borderId="0" xfId="1963" applyNumberFormat="1" applyFont="1" applyBorder="1" applyAlignment="1">
      <alignment horizontal="right"/>
    </xf>
    <xf numFmtId="166" fontId="5" fillId="0" borderId="0" xfId="1" applyNumberFormat="1" applyFont="1" applyFill="1"/>
    <xf numFmtId="0" fontId="6" fillId="0" borderId="117" xfId="4" applyFont="1" applyBorder="1" applyAlignment="1">
      <alignment horizontal="left" vertical="center"/>
    </xf>
    <xf numFmtId="0" fontId="6" fillId="0" borderId="117" xfId="4" applyFont="1" applyBorder="1" applyAlignment="1">
      <alignment horizontal="center" vertical="center"/>
    </xf>
    <xf numFmtId="165" fontId="5" fillId="0" borderId="86" xfId="21" applyNumberFormat="1" applyFont="1" applyBorder="1" applyAlignment="1">
      <alignment horizontal="center" vertical="center"/>
    </xf>
    <xf numFmtId="165" fontId="5" fillId="0" borderId="86" xfId="2" applyNumberFormat="1" applyFont="1" applyFill="1" applyBorder="1" applyAlignment="1">
      <alignment horizontal="center" vertical="center"/>
    </xf>
    <xf numFmtId="0" fontId="6" fillId="0" borderId="117" xfId="4" applyFont="1" applyBorder="1" applyAlignment="1">
      <alignment vertical="center"/>
    </xf>
    <xf numFmtId="165" fontId="5" fillId="0" borderId="86" xfId="21" applyNumberFormat="1" applyFont="1" applyFill="1" applyBorder="1" applyAlignment="1">
      <alignment horizontal="center" vertical="center"/>
    </xf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Continuous" vertical="center"/>
    </xf>
    <xf numFmtId="165" fontId="6" fillId="0" borderId="86" xfId="21" applyNumberFormat="1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vertical="center"/>
    </xf>
    <xf numFmtId="37" fontId="6" fillId="0" borderId="0" xfId="1604" applyNumberFormat="1" applyFont="1"/>
    <xf numFmtId="166" fontId="5" fillId="0" borderId="110" xfId="1" applyNumberFormat="1" applyFont="1" applyFill="1" applyBorder="1" applyAlignment="1">
      <alignment vertical="center"/>
    </xf>
    <xf numFmtId="0" fontId="6" fillId="0" borderId="105" xfId="4" applyFont="1" applyBorder="1" applyAlignment="1">
      <alignment horizontal="center"/>
    </xf>
    <xf numFmtId="0" fontId="6" fillId="0" borderId="116" xfId="4" applyFont="1" applyBorder="1" applyAlignment="1">
      <alignment horizontal="center"/>
    </xf>
    <xf numFmtId="0" fontId="6" fillId="0" borderId="110" xfId="4" applyFont="1" applyBorder="1" applyAlignment="1">
      <alignment horizontal="center"/>
    </xf>
    <xf numFmtId="10" fontId="5" fillId="0" borderId="86" xfId="3" applyNumberFormat="1" applyFont="1" applyFill="1" applyBorder="1" applyAlignment="1">
      <alignment horizontal="center" vertical="center"/>
    </xf>
    <xf numFmtId="166" fontId="5" fillId="0" borderId="0" xfId="1" applyNumberFormat="1" applyFont="1" applyBorder="1" applyAlignment="1">
      <alignment horizontal="right"/>
    </xf>
    <xf numFmtId="165" fontId="6" fillId="0" borderId="0" xfId="2" applyNumberFormat="1" applyFont="1" applyBorder="1"/>
    <xf numFmtId="10" fontId="5" fillId="0" borderId="0" xfId="2012" applyNumberFormat="1" applyFont="1" applyAlignment="1">
      <alignment horizontal="right"/>
    </xf>
    <xf numFmtId="183" fontId="5" fillId="0" borderId="0" xfId="2012" applyNumberFormat="1" applyFont="1"/>
    <xf numFmtId="166" fontId="5" fillId="0" borderId="0" xfId="2408" applyNumberFormat="1" applyFont="1" applyFill="1" applyBorder="1" applyAlignment="1" applyProtection="1">
      <alignment horizontal="right"/>
      <protection locked="0"/>
    </xf>
    <xf numFmtId="165" fontId="5" fillId="0" borderId="0" xfId="2039" applyNumberFormat="1" applyFont="1"/>
    <xf numFmtId="165" fontId="6" fillId="0" borderId="0" xfId="1963" applyNumberFormat="1" applyFont="1" applyBorder="1" applyAlignment="1">
      <alignment horizontal="right"/>
    </xf>
    <xf numFmtId="10" fontId="6" fillId="0" borderId="0" xfId="2012" quotePrefix="1" applyNumberFormat="1" applyFont="1" applyAlignment="1">
      <alignment horizontal="right"/>
    </xf>
    <xf numFmtId="10" fontId="13" fillId="0" borderId="0" xfId="2012" applyNumberFormat="1" applyFont="1" applyAlignment="1">
      <alignment horizontal="right"/>
    </xf>
    <xf numFmtId="165" fontId="6" fillId="0" borderId="0" xfId="2" applyNumberFormat="1" applyFont="1" applyBorder="1" applyAlignment="1">
      <alignment horizontal="right"/>
    </xf>
    <xf numFmtId="165" fontId="6" fillId="0" borderId="0" xfId="1965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05" xfId="0" applyFont="1" applyBorder="1" applyAlignment="1">
      <alignment horizontal="center" wrapText="1"/>
    </xf>
    <xf numFmtId="0" fontId="6" fillId="0" borderId="111" xfId="0" applyFont="1" applyBorder="1" applyAlignment="1">
      <alignment horizontal="center" wrapText="1"/>
    </xf>
    <xf numFmtId="5" fontId="6" fillId="0" borderId="114" xfId="0" applyNumberFormat="1" applyFont="1" applyBorder="1" applyAlignment="1">
      <alignment horizontal="center" vertical="justify"/>
    </xf>
    <xf numFmtId="5" fontId="5" fillId="0" borderId="7" xfId="0" applyNumberFormat="1" applyFont="1" applyBorder="1"/>
    <xf numFmtId="5" fontId="6" fillId="0" borderId="110" xfId="0" applyNumberFormat="1" applyFont="1" applyBorder="1" applyAlignment="1">
      <alignment horizontal="center" vertical="justify"/>
    </xf>
    <xf numFmtId="165" fontId="6" fillId="0" borderId="0" xfId="21" applyNumberFormat="1" applyFont="1" applyFill="1" applyBorder="1" applyAlignment="1" applyProtection="1">
      <alignment horizontal="center"/>
    </xf>
    <xf numFmtId="166" fontId="5" fillId="0" borderId="0" xfId="2408" applyNumberFormat="1" applyFont="1" applyFill="1" applyBorder="1" applyAlignment="1" applyProtection="1">
      <alignment horizontal="right"/>
    </xf>
    <xf numFmtId="6" fontId="5" fillId="0" borderId="0" xfId="4" applyNumberFormat="1" applyFont="1"/>
    <xf numFmtId="41" fontId="5" fillId="3" borderId="0" xfId="0" applyNumberFormat="1" applyFont="1" applyFill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0" borderId="0" xfId="1965" applyFont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6" fillId="0" borderId="0" xfId="1965" applyFont="1" applyAlignment="1">
      <alignment horizontal="center" vertical="center"/>
    </xf>
    <xf numFmtId="0" fontId="6" fillId="0" borderId="0" xfId="1965" applyFont="1" applyAlignment="1">
      <alignment horizontal="center" vertical="center" wrapText="1"/>
    </xf>
    <xf numFmtId="0" fontId="6" fillId="0" borderId="0" xfId="1965" quotePrefix="1" applyFont="1" applyAlignment="1">
      <alignment horizontal="center" vertical="center"/>
    </xf>
    <xf numFmtId="0" fontId="6" fillId="0" borderId="0" xfId="2012" applyFont="1" applyAlignment="1">
      <alignment horizontal="center" vertical="center"/>
    </xf>
    <xf numFmtId="0" fontId="5" fillId="0" borderId="0" xfId="1965" applyFont="1" applyAlignment="1">
      <alignment vertical="center"/>
    </xf>
    <xf numFmtId="0" fontId="5" fillId="0" borderId="0" xfId="2012" applyFont="1" applyAlignment="1">
      <alignment horizontal="center" vertical="center"/>
    </xf>
    <xf numFmtId="0" fontId="6" fillId="0" borderId="0" xfId="2012" applyFont="1" applyAlignment="1">
      <alignment horizontal="left" vertical="center"/>
    </xf>
    <xf numFmtId="0" fontId="6" fillId="0" borderId="0" xfId="2012" applyFont="1" applyAlignment="1">
      <alignment vertical="center"/>
    </xf>
    <xf numFmtId="49" fontId="6" fillId="0" borderId="0" xfId="4" applyNumberFormat="1" applyFont="1" applyAlignment="1">
      <alignment horizontal="center" vertical="center"/>
    </xf>
    <xf numFmtId="0" fontId="6" fillId="0" borderId="0" xfId="2012" applyFont="1" applyAlignment="1" applyProtection="1">
      <alignment vertical="center"/>
      <protection locked="0"/>
    </xf>
    <xf numFmtId="168" fontId="6" fillId="0" borderId="0" xfId="4" applyNumberFormat="1" applyFont="1" applyAlignment="1">
      <alignment horizontal="center" vertical="center"/>
    </xf>
    <xf numFmtId="44" fontId="3" fillId="0" borderId="0" xfId="2" applyFont="1" applyAlignment="1">
      <alignment horizontal="center" vertical="center"/>
    </xf>
    <xf numFmtId="0" fontId="11" fillId="0" borderId="0" xfId="2001" applyFont="1" applyAlignment="1">
      <alignment horizontal="center" vertical="center"/>
    </xf>
    <xf numFmtId="0" fontId="5" fillId="0" borderId="0" xfId="37037" applyFont="1" applyAlignment="1">
      <alignment horizontal="center" vertical="center"/>
    </xf>
    <xf numFmtId="0" fontId="11" fillId="0" borderId="0" xfId="37037" applyFont="1" applyAlignment="1">
      <alignment horizontal="center" vertical="center"/>
    </xf>
    <xf numFmtId="37" fontId="6" fillId="0" borderId="0" xfId="1604" applyNumberFormat="1" applyFont="1" applyAlignment="1">
      <alignment vertical="center"/>
    </xf>
    <xf numFmtId="37" fontId="6" fillId="0" borderId="0" xfId="1604" applyNumberFormat="1" applyFont="1" applyAlignment="1">
      <alignment horizontal="center" vertical="center"/>
    </xf>
    <xf numFmtId="0" fontId="27" fillId="0" borderId="0" xfId="1962" applyFont="1" applyAlignment="1">
      <alignment horizontal="center" vertical="center"/>
    </xf>
    <xf numFmtId="0" fontId="27" fillId="0" borderId="7" xfId="1962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9" fillId="0" borderId="114" xfId="1962" applyFont="1" applyBorder="1" applyAlignment="1">
      <alignment horizontal="center"/>
    </xf>
    <xf numFmtId="0" fontId="117" fillId="0" borderId="6" xfId="1962" applyFont="1" applyBorder="1" applyAlignment="1">
      <alignment horizontal="center"/>
    </xf>
    <xf numFmtId="0" fontId="117" fillId="0" borderId="106" xfId="1962" applyFont="1" applyBorder="1" applyAlignment="1">
      <alignment horizontal="center"/>
    </xf>
    <xf numFmtId="165" fontId="5" fillId="0" borderId="0" xfId="2" applyNumberFormat="1" applyFont="1" applyFill="1" applyBorder="1" applyAlignment="1">
      <alignment vertical="center"/>
    </xf>
    <xf numFmtId="0" fontId="6" fillId="0" borderId="0" xfId="1604" applyFont="1"/>
    <xf numFmtId="10" fontId="5" fillId="0" borderId="0" xfId="1043" applyNumberFormat="1" applyFont="1" applyBorder="1" applyAlignment="1">
      <alignment horizontal="right"/>
    </xf>
    <xf numFmtId="0" fontId="5" fillId="0" borderId="0" xfId="2012" applyFont="1" applyAlignment="1">
      <alignment horizontal="left"/>
    </xf>
    <xf numFmtId="0" fontId="10" fillId="0" borderId="0" xfId="2012" applyFont="1"/>
    <xf numFmtId="165" fontId="5" fillId="0" borderId="48" xfId="48" applyNumberFormat="1" applyFont="1" applyBorder="1" applyAlignment="1">
      <alignment horizontal="right"/>
    </xf>
    <xf numFmtId="165" fontId="5" fillId="0" borderId="0" xfId="2" applyNumberFormat="1" applyFont="1" applyBorder="1" applyAlignment="1">
      <alignment horizontal="right"/>
    </xf>
    <xf numFmtId="165" fontId="5" fillId="2" borderId="4" xfId="48" applyNumberFormat="1" applyFont="1" applyFill="1" applyBorder="1" applyAlignment="1">
      <alignment horizontal="right" vertical="center"/>
    </xf>
    <xf numFmtId="165" fontId="5" fillId="0" borderId="4" xfId="4" applyNumberFormat="1" applyFont="1" applyBorder="1" applyAlignment="1">
      <alignment horizontal="right" vertical="center"/>
    </xf>
    <xf numFmtId="166" fontId="5" fillId="2" borderId="4" xfId="1" applyNumberFormat="1" applyFont="1" applyFill="1" applyBorder="1" applyAlignment="1">
      <alignment horizontal="right" vertical="center"/>
    </xf>
    <xf numFmtId="165" fontId="6" fillId="0" borderId="48" xfId="48" applyNumberFormat="1" applyFont="1" applyBorder="1" applyAlignment="1">
      <alignment horizontal="right" vertical="center"/>
    </xf>
    <xf numFmtId="165" fontId="5" fillId="2" borderId="0" xfId="2011" applyNumberFormat="1" applyFont="1" applyFill="1" applyAlignment="1">
      <alignment vertical="center"/>
    </xf>
    <xf numFmtId="165" fontId="5" fillId="0" borderId="0" xfId="2011" applyNumberFormat="1" applyFont="1" applyAlignment="1">
      <alignment vertical="center"/>
    </xf>
    <xf numFmtId="165" fontId="5" fillId="0" borderId="0" xfId="1963" applyNumberFormat="1" applyFont="1" applyBorder="1" applyAlignment="1">
      <alignment horizontal="right" vertical="center"/>
    </xf>
    <xf numFmtId="172" fontId="5" fillId="0" borderId="0" xfId="1963" applyNumberFormat="1" applyFont="1" applyAlignment="1">
      <alignment vertical="center"/>
    </xf>
    <xf numFmtId="165" fontId="6" fillId="0" borderId="0" xfId="1963" applyNumberFormat="1" applyFont="1" applyAlignment="1">
      <alignment vertical="center"/>
    </xf>
    <xf numFmtId="167" fontId="5" fillId="3" borderId="0" xfId="3" applyNumberFormat="1" applyFont="1" applyFill="1" applyBorder="1" applyAlignment="1">
      <alignment horizontal="right" vertical="center"/>
    </xf>
    <xf numFmtId="0" fontId="5" fillId="0" borderId="0" xfId="2012" applyFont="1" applyAlignment="1">
      <alignment vertical="center"/>
    </xf>
    <xf numFmtId="10" fontId="5" fillId="2" borderId="0" xfId="2012" applyNumberFormat="1" applyFont="1" applyFill="1" applyAlignment="1">
      <alignment horizontal="right" vertical="center"/>
    </xf>
    <xf numFmtId="183" fontId="5" fillId="0" borderId="0" xfId="2012" applyNumberFormat="1" applyFont="1" applyAlignment="1">
      <alignment horizontal="right" vertical="center"/>
    </xf>
    <xf numFmtId="183" fontId="5" fillId="0" borderId="0" xfId="2012" applyNumberFormat="1" applyFont="1" applyAlignment="1">
      <alignment vertical="center"/>
    </xf>
    <xf numFmtId="10" fontId="5" fillId="0" borderId="0" xfId="2012" applyNumberFormat="1" applyFont="1" applyAlignment="1">
      <alignment horizontal="right" vertical="center"/>
    </xf>
    <xf numFmtId="183" fontId="5" fillId="0" borderId="0" xfId="2012" quotePrefix="1" applyNumberFormat="1" applyFont="1" applyAlignment="1">
      <alignment horizontal="right" vertical="center"/>
    </xf>
    <xf numFmtId="167" fontId="5" fillId="3" borderId="0" xfId="2012" applyNumberFormat="1" applyFont="1" applyFill="1" applyAlignment="1">
      <alignment horizontal="right" vertical="center"/>
    </xf>
    <xf numFmtId="10" fontId="5" fillId="0" borderId="1" xfId="2012" quotePrefix="1" applyNumberFormat="1" applyFont="1" applyBorder="1" applyAlignment="1">
      <alignment horizontal="right" vertical="center"/>
    </xf>
    <xf numFmtId="0" fontId="13" fillId="0" borderId="0" xfId="2012" applyFont="1" applyAlignment="1">
      <alignment vertical="center"/>
    </xf>
    <xf numFmtId="165" fontId="5" fillId="0" borderId="1" xfId="2" applyNumberFormat="1" applyFont="1" applyBorder="1" applyAlignment="1">
      <alignment horizontal="right" vertical="center"/>
    </xf>
    <xf numFmtId="0" fontId="13" fillId="0" borderId="0" xfId="2012" applyFont="1" applyAlignment="1">
      <alignment horizontal="center" vertical="center"/>
    </xf>
    <xf numFmtId="10" fontId="5" fillId="0" borderId="0" xfId="1043" applyNumberFormat="1" applyFont="1" applyBorder="1" applyAlignment="1">
      <alignment horizontal="right" vertical="center"/>
    </xf>
    <xf numFmtId="10" fontId="6" fillId="0" borderId="0" xfId="61" applyNumberFormat="1" applyFont="1" applyBorder="1" applyAlignment="1">
      <alignment vertical="center"/>
    </xf>
    <xf numFmtId="10" fontId="6" fillId="0" borderId="0" xfId="1043" applyNumberFormat="1" applyFont="1" applyAlignment="1" applyProtection="1">
      <alignment horizontal="right" vertical="center"/>
    </xf>
    <xf numFmtId="165" fontId="5" fillId="2" borderId="0" xfId="2012" applyNumberFormat="1" applyFont="1" applyFill="1" applyAlignment="1" applyProtection="1">
      <alignment horizontal="right" vertical="center"/>
      <protection locked="0"/>
    </xf>
    <xf numFmtId="166" fontId="5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0" borderId="52" xfId="2012" applyNumberFormat="1" applyFont="1" applyBorder="1" applyAlignment="1" applyProtection="1">
      <alignment horizontal="right" vertical="center"/>
      <protection locked="0"/>
    </xf>
    <xf numFmtId="165" fontId="6" fillId="0" borderId="0" xfId="2012" applyNumberFormat="1" applyFont="1" applyAlignment="1" applyProtection="1">
      <alignment horizontal="right" vertical="center"/>
      <protection locked="0"/>
    </xf>
    <xf numFmtId="167" fontId="5" fillId="2" borderId="0" xfId="61" applyNumberFormat="1" applyFont="1" applyFill="1" applyBorder="1" applyAlignment="1">
      <alignment horizontal="right" vertical="center"/>
    </xf>
    <xf numFmtId="165" fontId="5" fillId="0" borderId="51" xfId="2012" applyNumberFormat="1" applyFont="1" applyBorder="1" applyAlignment="1" applyProtection="1">
      <alignment horizontal="right" vertical="center"/>
      <protection locked="0"/>
    </xf>
    <xf numFmtId="165" fontId="5" fillId="0" borderId="0" xfId="2039" applyNumberFormat="1" applyFont="1" applyAlignment="1">
      <alignment horizontal="right" vertical="center"/>
    </xf>
    <xf numFmtId="165" fontId="5" fillId="0" borderId="0" xfId="2039" applyNumberFormat="1" applyFont="1" applyFill="1" applyAlignment="1">
      <alignment vertical="center"/>
    </xf>
    <xf numFmtId="166" fontId="5" fillId="0" borderId="0" xfId="2038" applyNumberFormat="1" applyFont="1" applyAlignment="1">
      <alignment vertical="center"/>
    </xf>
    <xf numFmtId="166" fontId="5" fillId="0" borderId="0" xfId="2038" applyNumberFormat="1" applyFont="1" applyFill="1" applyAlignment="1">
      <alignment vertical="center"/>
    </xf>
    <xf numFmtId="166" fontId="6" fillId="0" borderId="0" xfId="1" applyNumberFormat="1" applyFont="1" applyFill="1" applyAlignment="1">
      <alignment vertical="center"/>
    </xf>
    <xf numFmtId="165" fontId="5" fillId="0" borderId="0" xfId="1965" applyNumberFormat="1" applyFont="1" applyAlignment="1">
      <alignment vertical="center"/>
    </xf>
    <xf numFmtId="167" fontId="5" fillId="3" borderId="0" xfId="3" applyNumberFormat="1" applyFont="1" applyFill="1" applyAlignment="1">
      <alignment horizontal="right" vertical="center"/>
    </xf>
    <xf numFmtId="165" fontId="6" fillId="0" borderId="0" xfId="1965" applyNumberFormat="1" applyFont="1" applyAlignment="1">
      <alignment vertical="center"/>
    </xf>
    <xf numFmtId="165" fontId="5" fillId="2" borderId="0" xfId="21" applyNumberFormat="1" applyFont="1" applyFill="1" applyBorder="1" applyAlignment="1" applyProtection="1">
      <alignment horizontal="right" vertical="center"/>
      <protection locked="0"/>
    </xf>
    <xf numFmtId="41" fontId="5" fillId="0" borderId="86" xfId="3857" applyFont="1" applyBorder="1" applyAlignment="1">
      <alignment vertical="center"/>
    </xf>
    <xf numFmtId="41" fontId="5" fillId="0" borderId="0" xfId="3857" applyFont="1" applyAlignment="1">
      <alignment vertical="center"/>
    </xf>
    <xf numFmtId="165" fontId="5" fillId="0" borderId="48" xfId="37039" applyNumberFormat="1" applyFont="1" applyBorder="1" applyAlignment="1">
      <alignment vertical="center"/>
    </xf>
    <xf numFmtId="166" fontId="5" fillId="0" borderId="86" xfId="1442" applyNumberFormat="1" applyFont="1" applyBorder="1" applyAlignment="1">
      <alignment vertical="center"/>
    </xf>
    <xf numFmtId="165" fontId="5" fillId="0" borderId="0" xfId="37039" applyNumberFormat="1" applyFont="1" applyFill="1" applyAlignment="1">
      <alignment vertical="center"/>
    </xf>
    <xf numFmtId="166" fontId="5" fillId="0" borderId="86" xfId="1962" applyNumberFormat="1" applyFont="1" applyBorder="1" applyAlignment="1">
      <alignment vertical="center"/>
    </xf>
    <xf numFmtId="0" fontId="29" fillId="0" borderId="0" xfId="1962" applyFont="1" applyAlignment="1">
      <alignment vertical="center"/>
    </xf>
    <xf numFmtId="165" fontId="29" fillId="0" borderId="112" xfId="38093" applyNumberFormat="1" applyFont="1" applyBorder="1" applyAlignment="1">
      <alignment vertical="center"/>
    </xf>
    <xf numFmtId="43" fontId="29" fillId="0" borderId="0" xfId="1962" applyNumberFormat="1" applyFont="1" applyAlignment="1">
      <alignment vertical="center"/>
    </xf>
    <xf numFmtId="42" fontId="29" fillId="0" borderId="112" xfId="1045" applyFont="1" applyBorder="1" applyAlignment="1">
      <alignment vertical="center"/>
    </xf>
    <xf numFmtId="0" fontId="29" fillId="0" borderId="111" xfId="1962" applyFont="1" applyBorder="1" applyAlignment="1">
      <alignment vertical="center"/>
    </xf>
    <xf numFmtId="166" fontId="6" fillId="0" borderId="0" xfId="2408" applyNumberFormat="1" applyFont="1" applyFill="1" applyAlignment="1" applyProtection="1">
      <alignment horizontal="center" vertical="center"/>
    </xf>
    <xf numFmtId="165" fontId="5" fillId="2" borderId="0" xfId="21" applyNumberFormat="1" applyFont="1" applyFill="1" applyBorder="1" applyAlignment="1" applyProtection="1">
      <alignment horizontal="center" vertical="center"/>
    </xf>
    <xf numFmtId="165" fontId="6" fillId="0" borderId="0" xfId="21" quotePrefix="1" applyNumberFormat="1" applyFont="1" applyFill="1" applyBorder="1" applyAlignment="1">
      <alignment horizontal="right" vertical="center"/>
    </xf>
    <xf numFmtId="165" fontId="5" fillId="2" borderId="0" xfId="21" applyNumberFormat="1" applyFont="1" applyFill="1" applyBorder="1" applyAlignment="1" applyProtection="1">
      <alignment horizontal="right" vertical="center"/>
    </xf>
    <xf numFmtId="43" fontId="5" fillId="2" borderId="0" xfId="2408" applyFont="1" applyFill="1" applyBorder="1" applyAlignment="1" applyProtection="1">
      <alignment horizontal="right" vertical="center"/>
    </xf>
    <xf numFmtId="166" fontId="6" fillId="0" borderId="0" xfId="2408" applyNumberFormat="1" applyFont="1" applyFill="1" applyAlignment="1" applyProtection="1">
      <alignment horizontal="right" vertical="center"/>
    </xf>
    <xf numFmtId="166" fontId="6" fillId="0" borderId="0" xfId="2408" applyNumberFormat="1" applyFont="1" applyFill="1" applyBorder="1" applyAlignment="1" applyProtection="1">
      <alignment horizontal="center" vertical="center"/>
    </xf>
    <xf numFmtId="165" fontId="6" fillId="0" borderId="0" xfId="21" applyNumberFormat="1" applyFont="1" applyFill="1" applyBorder="1" applyAlignment="1" applyProtection="1">
      <alignment horizontal="right" vertical="center"/>
    </xf>
    <xf numFmtId="165" fontId="5" fillId="2" borderId="0" xfId="21" applyNumberFormat="1" applyFont="1" applyFill="1" applyAlignment="1" applyProtection="1">
      <alignment horizontal="right" vertical="center"/>
    </xf>
    <xf numFmtId="166" fontId="5" fillId="2" borderId="0" xfId="2408" applyNumberFormat="1" applyFont="1" applyFill="1" applyAlignment="1" applyProtection="1">
      <alignment horizontal="right" vertical="center"/>
    </xf>
    <xf numFmtId="173" fontId="6" fillId="0" borderId="0" xfId="4" applyNumberFormat="1" applyFont="1" applyAlignment="1">
      <alignment horizontal="center" vertical="center"/>
    </xf>
    <xf numFmtId="165" fontId="5" fillId="0" borderId="0" xfId="21" applyNumberFormat="1" applyFont="1" applyFill="1" applyAlignment="1" applyProtection="1">
      <alignment horizontal="right" vertical="center"/>
    </xf>
    <xf numFmtId="166" fontId="5" fillId="0" borderId="0" xfId="2408" applyNumberFormat="1" applyFont="1" applyFill="1" applyAlignment="1" applyProtection="1">
      <alignment horizontal="right" vertical="center"/>
    </xf>
    <xf numFmtId="41" fontId="5" fillId="0" borderId="0" xfId="21" applyNumberFormat="1" applyFont="1" applyBorder="1" applyAlignment="1">
      <alignment horizontal="center"/>
    </xf>
    <xf numFmtId="44" fontId="5" fillId="0" borderId="0" xfId="0" applyNumberFormat="1" applyFont="1" applyAlignment="1">
      <alignment vertical="center"/>
    </xf>
    <xf numFmtId="166" fontId="5" fillId="2" borderId="86" xfId="1" applyNumberFormat="1" applyFont="1" applyFill="1" applyBorder="1" applyAlignment="1">
      <alignment horizontal="right" vertical="center"/>
    </xf>
    <xf numFmtId="166" fontId="5" fillId="3" borderId="0" xfId="2038" applyNumberFormat="1" applyFont="1" applyFill="1" applyAlignment="1">
      <alignment vertical="center"/>
    </xf>
    <xf numFmtId="166" fontId="5" fillId="3" borderId="0" xfId="2038" applyNumberFormat="1" applyFont="1" applyFill="1" applyBorder="1" applyAlignment="1">
      <alignment vertical="center"/>
    </xf>
    <xf numFmtId="166" fontId="5" fillId="0" borderId="111" xfId="1" applyNumberFormat="1" applyFont="1" applyFill="1" applyBorder="1" applyAlignment="1">
      <alignment vertical="center"/>
    </xf>
    <xf numFmtId="166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27" fillId="0" borderId="0" xfId="2" applyNumberFormat="1" applyFont="1" applyFill="1" applyAlignment="1">
      <alignment vertical="center"/>
    </xf>
    <xf numFmtId="166" fontId="27" fillId="0" borderId="0" xfId="1" applyNumberFormat="1" applyFont="1" applyFill="1" applyAlignment="1">
      <alignment vertical="center"/>
    </xf>
    <xf numFmtId="0" fontId="13" fillId="0" borderId="0" xfId="0" quotePrefix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17" fillId="0" borderId="0" xfId="0" applyFont="1" applyAlignment="1">
      <alignment horizontal="center" vertical="center"/>
    </xf>
    <xf numFmtId="1" fontId="5" fillId="0" borderId="0" xfId="4" applyNumberFormat="1" applyFont="1" applyAlignment="1">
      <alignment horizontal="center" vertical="center"/>
    </xf>
    <xf numFmtId="165" fontId="5" fillId="0" borderId="0" xfId="2" applyNumberFormat="1" applyFont="1" applyFill="1" applyBorder="1" applyAlignment="1">
      <alignment horizontal="right" vertical="center"/>
    </xf>
    <xf numFmtId="166" fontId="27" fillId="0" borderId="0" xfId="1" applyNumberFormat="1" applyFont="1" applyFill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0" fontId="27" fillId="0" borderId="0" xfId="3" applyNumberFormat="1" applyFont="1" applyAlignment="1">
      <alignment vertical="center"/>
    </xf>
    <xf numFmtId="214" fontId="27" fillId="0" borderId="0" xfId="0" applyNumberFormat="1" applyFont="1" applyAlignment="1">
      <alignment vertical="center"/>
    </xf>
    <xf numFmtId="0" fontId="11" fillId="0" borderId="0" xfId="3840" quotePrefix="1" applyFont="1" applyAlignment="1">
      <alignment horizontal="center" vertical="center"/>
    </xf>
    <xf numFmtId="184" fontId="5" fillId="0" borderId="0" xfId="0" applyNumberFormat="1" applyFont="1" applyAlignment="1">
      <alignment horizontal="right" vertical="center"/>
    </xf>
    <xf numFmtId="10" fontId="27" fillId="0" borderId="0" xfId="0" applyNumberFormat="1" applyFont="1" applyAlignment="1">
      <alignment vertical="center"/>
    </xf>
    <xf numFmtId="184" fontId="27" fillId="0" borderId="0" xfId="0" quotePrefix="1" applyNumberFormat="1" applyFont="1" applyAlignment="1">
      <alignment horizontal="center" vertical="center"/>
    </xf>
    <xf numFmtId="184" fontId="27" fillId="0" borderId="0" xfId="0" applyNumberFormat="1" applyFont="1" applyAlignment="1">
      <alignment vertical="center"/>
    </xf>
    <xf numFmtId="184" fontId="27" fillId="0" borderId="0" xfId="0" applyNumberFormat="1" applyFont="1" applyAlignment="1">
      <alignment horizontal="right" vertical="center"/>
    </xf>
    <xf numFmtId="1" fontId="6" fillId="0" borderId="0" xfId="4" applyNumberFormat="1" applyFont="1" applyAlignment="1">
      <alignment horizontal="center" vertical="center"/>
    </xf>
    <xf numFmtId="184" fontId="29" fillId="0" borderId="0" xfId="0" quotePrefix="1" applyNumberFormat="1" applyFont="1" applyAlignment="1">
      <alignment horizontal="center" vertical="center"/>
    </xf>
    <xf numFmtId="184" fontId="6" fillId="0" borderId="0" xfId="0" applyNumberFormat="1" applyFont="1" applyAlignment="1">
      <alignment horizontal="right" vertical="center"/>
    </xf>
    <xf numFmtId="184" fontId="29" fillId="0" borderId="0" xfId="0" applyNumberFormat="1" applyFont="1" applyAlignment="1">
      <alignment vertical="center"/>
    </xf>
    <xf numFmtId="10" fontId="29" fillId="0" borderId="0" xfId="0" applyNumberFormat="1" applyFont="1" applyAlignment="1">
      <alignment vertical="center"/>
    </xf>
    <xf numFmtId="184" fontId="29" fillId="0" borderId="0" xfId="0" applyNumberFormat="1" applyFont="1" applyAlignment="1">
      <alignment horizontal="right" vertical="center"/>
    </xf>
    <xf numFmtId="184" fontId="29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84" fontId="117" fillId="0" borderId="0" xfId="0" applyNumberFormat="1" applyFont="1" applyAlignment="1">
      <alignment horizontal="center" vertical="center"/>
    </xf>
    <xf numFmtId="1" fontId="5" fillId="0" borderId="0" xfId="55" applyNumberFormat="1" applyFont="1" applyAlignment="1">
      <alignment horizontal="center" vertical="center"/>
    </xf>
    <xf numFmtId="10" fontId="27" fillId="2" borderId="0" xfId="0" applyNumberFormat="1" applyFont="1" applyFill="1" applyAlignment="1">
      <alignment vertical="center"/>
    </xf>
    <xf numFmtId="165" fontId="27" fillId="2" borderId="0" xfId="2" applyNumberFormat="1" applyFont="1" applyFill="1" applyAlignment="1">
      <alignment horizontal="right" vertical="center"/>
    </xf>
    <xf numFmtId="165" fontId="5" fillId="0" borderId="0" xfId="2" quotePrefix="1" applyNumberFormat="1" applyFont="1" applyAlignment="1">
      <alignment horizontal="center" vertical="center"/>
    </xf>
    <xf numFmtId="166" fontId="5" fillId="0" borderId="0" xfId="1" quotePrefix="1" applyNumberFormat="1" applyFont="1" applyAlignment="1">
      <alignment horizontal="center" vertical="center"/>
    </xf>
    <xf numFmtId="8" fontId="27" fillId="0" borderId="0" xfId="0" applyNumberFormat="1" applyFont="1" applyAlignment="1">
      <alignment vertical="center"/>
    </xf>
    <xf numFmtId="212" fontId="27" fillId="0" borderId="0" xfId="3" applyNumberFormat="1" applyFont="1" applyAlignment="1">
      <alignment vertical="center"/>
    </xf>
    <xf numFmtId="214" fontId="27" fillId="0" borderId="0" xfId="0" quotePrefix="1" applyNumberFormat="1" applyFont="1" applyAlignment="1">
      <alignment horizontal="center" vertical="center"/>
    </xf>
    <xf numFmtId="215" fontId="5" fillId="3" borderId="0" xfId="2038" applyNumberFormat="1" applyFont="1" applyFill="1" applyAlignment="1">
      <alignment vertical="center"/>
    </xf>
    <xf numFmtId="165" fontId="5" fillId="0" borderId="0" xfId="0" applyNumberFormat="1" applyFont="1"/>
    <xf numFmtId="166" fontId="5" fillId="0" borderId="0" xfId="0" applyNumberFormat="1" applyFont="1"/>
    <xf numFmtId="9" fontId="5" fillId="0" borderId="0" xfId="3" applyFont="1"/>
    <xf numFmtId="0" fontId="5" fillId="0" borderId="4" xfId="4" applyFont="1" applyBorder="1"/>
    <xf numFmtId="0" fontId="6" fillId="0" borderId="0" xfId="2012" applyFont="1" applyProtection="1">
      <protection locked="0"/>
    </xf>
    <xf numFmtId="165" fontId="5" fillId="2" borderId="0" xfId="2" applyNumberFormat="1" applyFont="1" applyFill="1" applyBorder="1" applyAlignment="1" applyProtection="1">
      <alignment horizontal="right" vertical="center"/>
      <protection locked="0"/>
    </xf>
    <xf numFmtId="10" fontId="5" fillId="0" borderId="0" xfId="3" applyNumberFormat="1" applyFont="1"/>
    <xf numFmtId="5" fontId="5" fillId="0" borderId="0" xfId="2012" applyNumberFormat="1" applyFont="1" applyAlignment="1" applyProtection="1">
      <alignment horizontal="right" vertical="center"/>
      <protection locked="0"/>
    </xf>
    <xf numFmtId="5" fontId="5" fillId="0" borderId="0" xfId="2012" applyNumberFormat="1" applyFont="1" applyAlignment="1" applyProtection="1">
      <alignment horizontal="right"/>
      <protection locked="0"/>
    </xf>
    <xf numFmtId="5" fontId="6" fillId="0" borderId="0" xfId="2012" applyNumberFormat="1" applyFont="1" applyAlignment="1" applyProtection="1">
      <alignment horizontal="right" vertical="center"/>
      <protection locked="0"/>
    </xf>
    <xf numFmtId="5" fontId="6" fillId="0" borderId="0" xfId="2012" applyNumberFormat="1" applyFont="1" applyAlignment="1" applyProtection="1">
      <alignment horizontal="right"/>
      <protection locked="0"/>
    </xf>
    <xf numFmtId="184" fontId="5" fillId="0" borderId="0" xfId="0" applyNumberFormat="1" applyFont="1" applyAlignment="1">
      <alignment vertical="center"/>
    </xf>
    <xf numFmtId="10" fontId="5" fillId="3" borderId="0" xfId="3" applyNumberFormat="1" applyFont="1" applyFill="1" applyAlignment="1">
      <alignment horizontal="center" vertical="center"/>
    </xf>
    <xf numFmtId="165" fontId="5" fillId="0" borderId="0" xfId="2" applyNumberFormat="1" applyFont="1" applyAlignment="1">
      <alignment horizontal="right" vertical="center"/>
    </xf>
    <xf numFmtId="166" fontId="5" fillId="0" borderId="0" xfId="1" applyNumberFormat="1" applyFont="1" applyFill="1" applyAlignment="1">
      <alignment horizontal="right" vertical="center"/>
    </xf>
    <xf numFmtId="166" fontId="5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right" vertical="center"/>
    </xf>
    <xf numFmtId="207" fontId="5" fillId="0" borderId="0" xfId="3" applyNumberFormat="1" applyFont="1" applyAlignment="1">
      <alignment vertical="center"/>
    </xf>
    <xf numFmtId="165" fontId="5" fillId="0" borderId="118" xfId="2" applyNumberFormat="1" applyFont="1" applyFill="1" applyBorder="1" applyAlignment="1">
      <alignment vertical="center"/>
    </xf>
    <xf numFmtId="213" fontId="5" fillId="0" borderId="118" xfId="2" applyNumberFormat="1" applyFont="1" applyBorder="1" applyAlignment="1">
      <alignment vertical="center"/>
    </xf>
    <xf numFmtId="213" fontId="5" fillId="0" borderId="0" xfId="2" applyNumberFormat="1" applyFont="1" applyAlignment="1">
      <alignment vertical="center"/>
    </xf>
    <xf numFmtId="214" fontId="5" fillId="0" borderId="0" xfId="0" applyNumberFormat="1" applyFont="1" applyAlignment="1">
      <alignment vertical="center"/>
    </xf>
    <xf numFmtId="0" fontId="160" fillId="0" borderId="0" xfId="0" applyFont="1" applyAlignment="1">
      <alignment vertical="center"/>
    </xf>
    <xf numFmtId="8" fontId="5" fillId="0" borderId="0" xfId="0" applyNumberFormat="1" applyFont="1" applyAlignment="1">
      <alignment vertical="center"/>
    </xf>
    <xf numFmtId="165" fontId="5" fillId="0" borderId="8" xfId="21" applyNumberFormat="1" applyFont="1" applyFill="1" applyBorder="1" applyAlignment="1">
      <alignment horizontal="center"/>
    </xf>
    <xf numFmtId="10" fontId="5" fillId="2" borderId="0" xfId="0" applyNumberFormat="1" applyFont="1" applyFill="1" applyAlignment="1">
      <alignment vertical="center"/>
    </xf>
    <xf numFmtId="214" fontId="5" fillId="0" borderId="0" xfId="0" applyNumberFormat="1" applyFont="1" applyAlignment="1">
      <alignment horizontal="right" vertical="center"/>
    </xf>
    <xf numFmtId="184" fontId="5" fillId="0" borderId="0" xfId="0" quotePrefix="1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0" fontId="5" fillId="0" borderId="4" xfId="3856" applyFont="1" applyBorder="1" applyAlignment="1">
      <alignment horizontal="center" vertical="center"/>
    </xf>
    <xf numFmtId="0" fontId="5" fillId="0" borderId="3" xfId="3856" applyFont="1" applyBorder="1" applyAlignment="1">
      <alignment horizontal="center" vertical="center"/>
    </xf>
    <xf numFmtId="0" fontId="5" fillId="0" borderId="4" xfId="3856" applyFont="1" applyBorder="1"/>
    <xf numFmtId="0" fontId="6" fillId="0" borderId="0" xfId="3856" applyFont="1" applyAlignment="1">
      <alignment horizontal="center"/>
    </xf>
    <xf numFmtId="0" fontId="6" fillId="0" borderId="86" xfId="3856" applyFont="1" applyBorder="1" applyAlignment="1">
      <alignment horizontal="center"/>
    </xf>
    <xf numFmtId="0" fontId="5" fillId="0" borderId="0" xfId="3856" applyFont="1"/>
    <xf numFmtId="44" fontId="5" fillId="0" borderId="0" xfId="0" applyNumberFormat="1" applyFont="1"/>
    <xf numFmtId="0" fontId="5" fillId="0" borderId="0" xfId="3856" applyFont="1" applyAlignment="1">
      <alignment horizontal="center" vertical="center"/>
    </xf>
    <xf numFmtId="0" fontId="11" fillId="0" borderId="0" xfId="3856" applyFont="1" applyAlignment="1">
      <alignment horizontal="center" vertical="center"/>
    </xf>
    <xf numFmtId="41" fontId="5" fillId="0" borderId="0" xfId="3857" applyFont="1"/>
    <xf numFmtId="5" fontId="5" fillId="0" borderId="0" xfId="0" applyNumberFormat="1" applyFont="1" applyAlignment="1">
      <alignment horizontal="left" vertical="center"/>
    </xf>
    <xf numFmtId="0" fontId="6" fillId="0" borderId="0" xfId="1042" applyFont="1" applyAlignment="1">
      <alignment vertical="center"/>
    </xf>
    <xf numFmtId="0" fontId="6" fillId="0" borderId="0" xfId="1042" applyFont="1"/>
    <xf numFmtId="0" fontId="5" fillId="0" borderId="0" xfId="1042" applyFont="1" applyAlignment="1">
      <alignment horizontal="center" vertical="center"/>
    </xf>
    <xf numFmtId="0" fontId="6" fillId="0" borderId="114" xfId="1042" applyFont="1" applyBorder="1" applyAlignment="1">
      <alignment horizontal="center"/>
    </xf>
    <xf numFmtId="0" fontId="6" fillId="0" borderId="6" xfId="1042" applyFont="1" applyBorder="1"/>
    <xf numFmtId="0" fontId="6" fillId="0" borderId="110" xfId="1042" applyFont="1" applyBorder="1" applyAlignment="1">
      <alignment horizontal="center"/>
    </xf>
    <xf numFmtId="0" fontId="5" fillId="0" borderId="7" xfId="1042" applyFont="1" applyBorder="1" applyAlignment="1">
      <alignment horizontal="left"/>
    </xf>
    <xf numFmtId="0" fontId="5" fillId="0" borderId="86" xfId="1042" applyFont="1" applyBorder="1"/>
    <xf numFmtId="0" fontId="5" fillId="0" borderId="7" xfId="1042" applyFont="1" applyBorder="1"/>
    <xf numFmtId="0" fontId="5" fillId="0" borderId="4" xfId="1042" applyFont="1" applyBorder="1"/>
    <xf numFmtId="0" fontId="6" fillId="0" borderId="7" xfId="1042" applyFont="1" applyBorder="1"/>
    <xf numFmtId="0" fontId="6" fillId="0" borderId="86" xfId="1042" applyFont="1" applyBorder="1"/>
    <xf numFmtId="165" fontId="6" fillId="0" borderId="112" xfId="38092" applyNumberFormat="1" applyFont="1" applyBorder="1" applyAlignment="1">
      <alignment vertical="center"/>
    </xf>
    <xf numFmtId="0" fontId="6" fillId="0" borderId="50" xfId="1042" applyFont="1" applyBorder="1" applyAlignment="1">
      <alignment horizontal="right"/>
    </xf>
    <xf numFmtId="0" fontId="6" fillId="0" borderId="113" xfId="1042" applyFont="1" applyBorder="1" applyAlignment="1">
      <alignment horizontal="right"/>
    </xf>
    <xf numFmtId="43" fontId="5" fillId="0" borderId="111" xfId="1042" applyNumberFormat="1" applyFont="1" applyBorder="1"/>
    <xf numFmtId="0" fontId="6" fillId="0" borderId="0" xfId="1042" applyFont="1" applyAlignment="1">
      <alignment horizontal="center" vertical="center"/>
    </xf>
    <xf numFmtId="43" fontId="6" fillId="0" borderId="0" xfId="1042" applyNumberFormat="1" applyFont="1"/>
    <xf numFmtId="0" fontId="11" fillId="0" borderId="0" xfId="1042" applyFont="1" applyAlignment="1">
      <alignment horizontal="center" vertical="center"/>
    </xf>
    <xf numFmtId="0" fontId="5" fillId="0" borderId="0" xfId="1042" applyFont="1"/>
    <xf numFmtId="172" fontId="6" fillId="0" borderId="0" xfId="0" applyNumberFormat="1" applyFont="1"/>
    <xf numFmtId="37" fontId="6" fillId="0" borderId="86" xfId="12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center"/>
    </xf>
    <xf numFmtId="0" fontId="5" fillId="0" borderId="0" xfId="1962" applyFont="1" applyAlignment="1">
      <alignment horizontal="center" vertical="center"/>
    </xf>
    <xf numFmtId="0" fontId="6" fillId="0" borderId="0" xfId="1962" applyFont="1"/>
    <xf numFmtId="0" fontId="11" fillId="0" borderId="0" xfId="1962" applyFont="1" applyAlignment="1">
      <alignment horizontal="center" vertical="center"/>
    </xf>
    <xf numFmtId="0" fontId="5" fillId="0" borderId="0" xfId="1962" applyFont="1"/>
    <xf numFmtId="0" fontId="17" fillId="0" borderId="0" xfId="0" applyFont="1" applyAlignment="1">
      <alignment horizontal="center" vertical="center"/>
    </xf>
    <xf numFmtId="0" fontId="157" fillId="0" borderId="0" xfId="4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65" fontId="6" fillId="0" borderId="112" xfId="2" applyNumberFormat="1" applyFont="1" applyBorder="1"/>
    <xf numFmtId="0" fontId="5" fillId="0" borderId="111" xfId="0" applyFont="1" applyBorder="1"/>
    <xf numFmtId="0" fontId="5" fillId="0" borderId="11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0" fontId="5" fillId="0" borderId="86" xfId="0" applyNumberFormat="1" applyFont="1" applyBorder="1" applyAlignment="1">
      <alignment vertical="center"/>
    </xf>
    <xf numFmtId="6" fontId="5" fillId="0" borderId="86" xfId="0" applyNumberFormat="1" applyFont="1" applyBorder="1" applyAlignment="1">
      <alignment vertical="center"/>
    </xf>
    <xf numFmtId="10" fontId="5" fillId="0" borderId="86" xfId="3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8" fillId="0" borderId="0" xfId="4" applyFont="1" applyAlignment="1">
      <alignment horizontal="left"/>
    </xf>
    <xf numFmtId="41" fontId="6" fillId="0" borderId="0" xfId="21" applyNumberFormat="1" applyFont="1" applyFill="1" applyBorder="1" applyAlignment="1">
      <alignment horizontal="center"/>
    </xf>
    <xf numFmtId="165" fontId="5" fillId="0" borderId="4" xfId="48" applyNumberFormat="1" applyFont="1" applyFill="1" applyBorder="1" applyAlignment="1">
      <alignment horizontal="right"/>
    </xf>
    <xf numFmtId="166" fontId="5" fillId="0" borderId="4" xfId="1" applyNumberFormat="1" applyFont="1" applyFill="1" applyBorder="1" applyAlignment="1">
      <alignment horizontal="right"/>
    </xf>
    <xf numFmtId="166" fontId="5" fillId="0" borderId="4" xfId="1" applyNumberFormat="1" applyFont="1" applyBorder="1" applyAlignment="1">
      <alignment horizontal="right"/>
    </xf>
    <xf numFmtId="166" fontId="5" fillId="0" borderId="86" xfId="1" applyNumberFormat="1" applyFont="1" applyBorder="1"/>
    <xf numFmtId="0" fontId="9" fillId="0" borderId="0" xfId="2012" applyFont="1" applyAlignment="1">
      <alignment horizontal="center"/>
    </xf>
    <xf numFmtId="0" fontId="9" fillId="0" borderId="0" xfId="1965" applyFont="1"/>
    <xf numFmtId="0" fontId="9" fillId="0" borderId="0" xfId="2012" applyFont="1"/>
    <xf numFmtId="0" fontId="8" fillId="0" borderId="0" xfId="2012" applyFont="1"/>
    <xf numFmtId="0" fontId="9" fillId="0" borderId="0" xfId="4" applyFont="1" applyAlignment="1">
      <alignment horizontal="left"/>
    </xf>
    <xf numFmtId="0" fontId="6" fillId="0" borderId="119" xfId="3856" applyFont="1" applyBorder="1"/>
    <xf numFmtId="0" fontId="6" fillId="0" borderId="2" xfId="4" applyFont="1" applyBorder="1" applyAlignment="1">
      <alignment horizontal="center" vertical="center"/>
    </xf>
    <xf numFmtId="0" fontId="163" fillId="0" borderId="0" xfId="0" applyFont="1" applyAlignment="1">
      <alignment vertical="center"/>
    </xf>
    <xf numFmtId="168" fontId="5" fillId="0" borderId="0" xfId="4" applyNumberFormat="1" applyFont="1" applyAlignment="1">
      <alignment vertical="center" wrapText="1"/>
    </xf>
    <xf numFmtId="0" fontId="162" fillId="0" borderId="7" xfId="1604" applyFont="1" applyBorder="1" applyAlignment="1">
      <alignment horizontal="center"/>
    </xf>
    <xf numFmtId="0" fontId="9" fillId="0" borderId="0" xfId="0" applyFont="1"/>
    <xf numFmtId="0" fontId="164" fillId="0" borderId="0" xfId="4" applyFont="1" applyAlignment="1">
      <alignment vertical="center"/>
    </xf>
    <xf numFmtId="0" fontId="5" fillId="0" borderId="0" xfId="6107" applyFont="1" applyAlignment="1">
      <alignment vertical="center"/>
    </xf>
    <xf numFmtId="165" fontId="8" fillId="0" borderId="0" xfId="48" applyNumberFormat="1" applyFont="1"/>
    <xf numFmtId="166" fontId="165" fillId="0" borderId="0" xfId="22" applyNumberFormat="1" applyFont="1" applyBorder="1" applyAlignment="1">
      <alignment vertical="center"/>
    </xf>
    <xf numFmtId="166" fontId="165" fillId="0" borderId="0" xfId="22" applyNumberFormat="1" applyFont="1" applyBorder="1"/>
    <xf numFmtId="165" fontId="9" fillId="0" borderId="0" xfId="48" applyNumberFormat="1" applyFont="1" applyAlignment="1">
      <alignment vertical="center"/>
    </xf>
    <xf numFmtId="10" fontId="161" fillId="0" borderId="0" xfId="61" applyNumberFormat="1" applyFont="1" applyBorder="1" applyAlignment="1" applyProtection="1">
      <alignment vertical="center"/>
    </xf>
    <xf numFmtId="10" fontId="161" fillId="0" borderId="0" xfId="61" applyNumberFormat="1" applyFont="1" applyBorder="1" applyProtection="1"/>
    <xf numFmtId="165" fontId="9" fillId="0" borderId="0" xfId="48" applyNumberFormat="1" applyFont="1" applyBorder="1" applyAlignment="1">
      <alignment horizontal="right" vertical="center"/>
    </xf>
    <xf numFmtId="165" fontId="8" fillId="0" borderId="0" xfId="48" applyNumberFormat="1" applyFont="1" applyBorder="1" applyAlignment="1">
      <alignment horizontal="right"/>
    </xf>
    <xf numFmtId="10" fontId="8" fillId="0" borderId="0" xfId="1043" applyNumberFormat="1" applyFont="1" applyBorder="1" applyAlignment="1">
      <alignment horizontal="right"/>
    </xf>
    <xf numFmtId="10" fontId="5" fillId="2" borderId="0" xfId="2012" applyNumberFormat="1" applyFont="1" applyFill="1" applyAlignment="1">
      <alignment vertical="center"/>
    </xf>
    <xf numFmtId="0" fontId="5" fillId="0" borderId="0" xfId="6107" applyFont="1" applyAlignment="1">
      <alignment vertical="top"/>
    </xf>
    <xf numFmtId="167" fontId="5" fillId="0" borderId="0" xfId="2012" applyNumberFormat="1" applyFont="1" applyAlignment="1">
      <alignment horizontal="right"/>
    </xf>
    <xf numFmtId="165" fontId="5" fillId="0" borderId="0" xfId="2039" applyNumberFormat="1" applyFont="1" applyBorder="1" applyAlignment="1">
      <alignment horizontal="right" vertical="center"/>
    </xf>
    <xf numFmtId="43" fontId="6" fillId="0" borderId="0" xfId="6107" applyNumberFormat="1" applyFont="1" applyAlignment="1">
      <alignment vertical="center"/>
    </xf>
    <xf numFmtId="1" fontId="6" fillId="0" borderId="0" xfId="6107" applyNumberFormat="1" applyFont="1" applyAlignment="1">
      <alignment vertical="center"/>
    </xf>
    <xf numFmtId="0" fontId="5" fillId="0" borderId="0" xfId="6107" applyFont="1" applyAlignment="1">
      <alignment horizontal="center" vertical="top" wrapText="1"/>
    </xf>
    <xf numFmtId="165" fontId="5" fillId="0" borderId="86" xfId="4" applyNumberFormat="1" applyFont="1" applyBorder="1" applyAlignment="1">
      <alignment horizontal="right" vertical="center"/>
    </xf>
    <xf numFmtId="165" fontId="5" fillId="0" borderId="86" xfId="4" applyNumberFormat="1" applyFont="1" applyBorder="1" applyAlignment="1">
      <alignment vertical="center"/>
    </xf>
    <xf numFmtId="0" fontId="6" fillId="0" borderId="4" xfId="4" applyFont="1" applyBorder="1" applyAlignment="1">
      <alignment horizontal="left" indent="2"/>
    </xf>
    <xf numFmtId="166" fontId="5" fillId="0" borderId="86" xfId="1" applyNumberFormat="1" applyFont="1" applyFill="1" applyBorder="1" applyAlignment="1">
      <alignment horizontal="right" vertical="center"/>
    </xf>
    <xf numFmtId="165" fontId="5" fillId="0" borderId="1" xfId="1965" applyNumberFormat="1" applyFont="1" applyBorder="1" applyAlignment="1">
      <alignment horizontal="right" vertical="center"/>
    </xf>
    <xf numFmtId="0" fontId="8" fillId="0" borderId="0" xfId="2012" applyFont="1" applyAlignment="1">
      <alignment vertical="center"/>
    </xf>
    <xf numFmtId="0" fontId="13" fillId="0" borderId="0" xfId="6107" applyFont="1"/>
    <xf numFmtId="41" fontId="6" fillId="0" borderId="0" xfId="21" applyNumberFormat="1" applyFont="1" applyBorder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216" fontId="5" fillId="0" borderId="0" xfId="2" applyNumberFormat="1" applyFont="1" applyFill="1" applyAlignment="1">
      <alignment vertical="center"/>
    </xf>
    <xf numFmtId="165" fontId="6" fillId="0" borderId="118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horizontal="center" vertical="center"/>
    </xf>
    <xf numFmtId="41" fontId="5" fillId="0" borderId="0" xfId="38096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centerContinuous" vertical="center"/>
    </xf>
    <xf numFmtId="43" fontId="5" fillId="2" borderId="0" xfId="2408" applyFont="1" applyFill="1" applyBorder="1" applyAlignment="1" applyProtection="1">
      <alignment horizontal="center" vertical="center"/>
    </xf>
    <xf numFmtId="165" fontId="5" fillId="3" borderId="0" xfId="2039" applyNumberFormat="1" applyFont="1" applyFill="1" applyAlignment="1">
      <alignment vertical="center"/>
    </xf>
    <xf numFmtId="181" fontId="5" fillId="0" borderId="4" xfId="48" applyNumberFormat="1" applyFont="1" applyFill="1" applyBorder="1" applyAlignment="1">
      <alignment horizontal="right"/>
    </xf>
    <xf numFmtId="170" fontId="5" fillId="0" borderId="4" xfId="1" applyNumberFormat="1" applyFont="1" applyFill="1" applyBorder="1" applyAlignment="1">
      <alignment horizontal="right"/>
    </xf>
    <xf numFmtId="0" fontId="5" fillId="0" borderId="4" xfId="4" applyFont="1" applyBorder="1" applyAlignment="1">
      <alignment horizontal="left"/>
    </xf>
    <xf numFmtId="181" fontId="6" fillId="0" borderId="48" xfId="2" applyNumberFormat="1" applyFont="1" applyFill="1" applyBorder="1"/>
    <xf numFmtId="166" fontId="5" fillId="2" borderId="51" xfId="1" applyNumberFormat="1" applyFont="1" applyFill="1" applyBorder="1" applyAlignment="1">
      <alignment horizontal="center" vertical="center"/>
    </xf>
    <xf numFmtId="165" fontId="5" fillId="0" borderId="0" xfId="48" applyNumberFormat="1" applyFont="1" applyAlignment="1">
      <alignment vertical="center"/>
    </xf>
    <xf numFmtId="165" fontId="5" fillId="0" borderId="0" xfId="48" applyNumberFormat="1" applyFont="1" applyBorder="1" applyAlignment="1">
      <alignment horizontal="right" vertical="center"/>
    </xf>
    <xf numFmtId="10" fontId="5" fillId="0" borderId="1" xfId="1043" applyNumberFormat="1" applyFont="1" applyBorder="1" applyAlignment="1">
      <alignment horizontal="right" vertical="center"/>
    </xf>
    <xf numFmtId="166" fontId="5" fillId="3" borderId="0" xfId="1" applyNumberFormat="1" applyFont="1" applyFill="1" applyAlignment="1">
      <alignment vertical="center"/>
    </xf>
    <xf numFmtId="165" fontId="5" fillId="2" borderId="86" xfId="48" applyNumberFormat="1" applyFont="1" applyFill="1" applyBorder="1" applyAlignment="1">
      <alignment horizontal="right" vertical="center"/>
    </xf>
    <xf numFmtId="165" fontId="5" fillId="3" borderId="0" xfId="2" applyNumberFormat="1" applyFont="1" applyFill="1" applyBorder="1" applyAlignment="1">
      <alignment horizontal="right" vertical="center"/>
    </xf>
    <xf numFmtId="0" fontId="6" fillId="0" borderId="120" xfId="4" applyFont="1" applyBorder="1" applyAlignment="1">
      <alignment vertical="center"/>
    </xf>
    <xf numFmtId="0" fontId="6" fillId="0" borderId="121" xfId="4" quotePrefix="1" applyFont="1" applyBorder="1" applyAlignment="1">
      <alignment horizontal="center" vertical="center"/>
    </xf>
    <xf numFmtId="0" fontId="6" fillId="0" borderId="120" xfId="4" quotePrefix="1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166" fontId="5" fillId="0" borderId="4" xfId="1" applyNumberFormat="1" applyFont="1" applyBorder="1" applyAlignment="1">
      <alignment horizontal="center" vertical="center"/>
    </xf>
    <xf numFmtId="166" fontId="6" fillId="0" borderId="121" xfId="4" applyNumberFormat="1" applyFont="1" applyBorder="1" applyAlignment="1">
      <alignment vertical="center"/>
    </xf>
    <xf numFmtId="168" fontId="6" fillId="0" borderId="120" xfId="4" applyNumberFormat="1" applyFont="1" applyBorder="1" applyAlignment="1">
      <alignment vertical="center"/>
    </xf>
    <xf numFmtId="168" fontId="5" fillId="0" borderId="86" xfId="4" applyNumberFormat="1" applyFont="1" applyBorder="1" applyAlignment="1">
      <alignment vertical="center"/>
    </xf>
    <xf numFmtId="168" fontId="5" fillId="0" borderId="0" xfId="4" applyNumberFormat="1" applyFont="1" applyAlignment="1">
      <alignment horizontal="center" vertical="center"/>
    </xf>
    <xf numFmtId="166" fontId="6" fillId="0" borderId="0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>
      <alignment vertical="center"/>
    </xf>
    <xf numFmtId="165" fontId="5" fillId="0" borderId="86" xfId="37039" applyNumberFormat="1" applyFont="1" applyFill="1" applyBorder="1" applyAlignment="1">
      <alignment vertical="center"/>
    </xf>
    <xf numFmtId="41" fontId="5" fillId="0" borderId="86" xfId="3857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165" fontId="6" fillId="0" borderId="9" xfId="2" applyNumberFormat="1" applyFont="1" applyBorder="1" applyAlignment="1">
      <alignment vertical="center"/>
    </xf>
    <xf numFmtId="165" fontId="5" fillId="0" borderId="9" xfId="2" applyNumberFormat="1" applyFont="1" applyBorder="1" applyAlignment="1">
      <alignment horizontal="center" vertical="center"/>
    </xf>
    <xf numFmtId="165" fontId="5" fillId="0" borderId="0" xfId="21" applyNumberFormat="1" applyFont="1" applyFill="1" applyBorder="1" applyAlignment="1" applyProtection="1">
      <alignment horizontal="right"/>
    </xf>
    <xf numFmtId="165" fontId="6" fillId="0" borderId="122" xfId="21" applyNumberFormat="1" applyFont="1" applyFill="1" applyBorder="1" applyAlignment="1" applyProtection="1">
      <alignment horizontal="right" vertical="center"/>
    </xf>
    <xf numFmtId="165" fontId="5" fillId="111" borderId="0" xfId="21" applyNumberFormat="1" applyFont="1" applyFill="1" applyBorder="1" applyAlignment="1" applyProtection="1">
      <alignment horizontal="right" vertical="center"/>
    </xf>
    <xf numFmtId="165" fontId="5" fillId="0" borderId="0" xfId="21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76" fontId="5" fillId="0" borderId="9" xfId="3" applyNumberFormat="1" applyFont="1" applyBorder="1" applyAlignment="1">
      <alignment horizontal="right" vertical="center"/>
    </xf>
    <xf numFmtId="165" fontId="5" fillId="0" borderId="118" xfId="0" applyNumberFormat="1" applyFont="1" applyBorder="1" applyAlignment="1">
      <alignment vertical="center"/>
    </xf>
    <xf numFmtId="165" fontId="5" fillId="111" borderId="0" xfId="2" applyNumberFormat="1" applyFont="1" applyFill="1" applyAlignment="1">
      <alignment horizontal="right" vertical="center"/>
    </xf>
    <xf numFmtId="10" fontId="5" fillId="0" borderId="0" xfId="3" applyNumberFormat="1" applyFont="1" applyFill="1" applyBorder="1" applyAlignment="1">
      <alignment horizontal="right" vertical="center"/>
    </xf>
    <xf numFmtId="165" fontId="5" fillId="111" borderId="1" xfId="2" applyNumberFormat="1" applyFont="1" applyFill="1" applyBorder="1" applyAlignment="1" applyProtection="1">
      <alignment vertical="center"/>
      <protection locked="0"/>
    </xf>
    <xf numFmtId="165" fontId="5" fillId="111" borderId="0" xfId="2" applyNumberFormat="1" applyFont="1" applyFill="1" applyBorder="1" applyAlignment="1">
      <alignment vertical="center"/>
    </xf>
    <xf numFmtId="166" fontId="5" fillId="3" borderId="0" xfId="2408" applyNumberFormat="1" applyFont="1" applyFill="1" applyAlignment="1">
      <alignment vertical="center"/>
    </xf>
    <xf numFmtId="10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1" applyNumberFormat="1" applyFont="1" applyFill="1" applyBorder="1" applyAlignment="1" applyProtection="1">
      <alignment horizontal="right" vertical="center"/>
      <protection locked="0"/>
    </xf>
    <xf numFmtId="165" fontId="5" fillId="111" borderId="0" xfId="21" applyNumberFormat="1" applyFont="1" applyFill="1" applyBorder="1" applyAlignment="1">
      <alignment horizontal="center" vertical="center"/>
    </xf>
    <xf numFmtId="166" fontId="5" fillId="111" borderId="0" xfId="2408" applyNumberFormat="1" applyFont="1" applyFill="1" applyBorder="1" applyAlignment="1" applyProtection="1">
      <alignment vertical="center"/>
      <protection locked="0"/>
    </xf>
    <xf numFmtId="165" fontId="5" fillId="111" borderId="0" xfId="2" applyNumberFormat="1" applyFont="1" applyFill="1" applyAlignment="1">
      <alignment vertical="center"/>
    </xf>
    <xf numFmtId="166" fontId="5" fillId="111" borderId="0" xfId="1" applyNumberFormat="1" applyFont="1" applyFill="1" applyAlignment="1">
      <alignment vertical="center"/>
    </xf>
    <xf numFmtId="10" fontId="5" fillId="111" borderId="0" xfId="3" applyNumberFormat="1" applyFont="1" applyFill="1" applyAlignment="1">
      <alignment horizontal="right" vertical="center"/>
    </xf>
    <xf numFmtId="10" fontId="5" fillId="111" borderId="0" xfId="0" applyNumberFormat="1" applyFont="1" applyFill="1" applyAlignment="1">
      <alignment horizontal="right" vertical="center"/>
    </xf>
    <xf numFmtId="10" fontId="5" fillId="111" borderId="0" xfId="0" applyNumberFormat="1" applyFont="1" applyFill="1" applyAlignment="1">
      <alignment vertical="center"/>
    </xf>
    <xf numFmtId="165" fontId="5" fillId="111" borderId="0" xfId="2" applyNumberFormat="1" applyFont="1" applyFill="1" applyAlignment="1">
      <alignment horizontal="center" vertical="center"/>
    </xf>
    <xf numFmtId="166" fontId="5" fillId="111" borderId="0" xfId="2408" applyNumberFormat="1" applyFont="1" applyFill="1" applyBorder="1" applyAlignment="1" applyProtection="1">
      <alignment horizontal="right" vertical="center"/>
    </xf>
    <xf numFmtId="166" fontId="27" fillId="0" borderId="0" xfId="1" applyNumberFormat="1" applyFont="1" applyFill="1" applyBorder="1" applyAlignment="1">
      <alignment horizontal="right" vertical="center"/>
    </xf>
    <xf numFmtId="166" fontId="27" fillId="0" borderId="0" xfId="1" applyNumberFormat="1" applyFont="1" applyFill="1" applyBorder="1" applyAlignment="1">
      <alignment vertical="center"/>
    </xf>
    <xf numFmtId="166" fontId="5" fillId="0" borderId="0" xfId="1" quotePrefix="1" applyNumberFormat="1" applyFont="1" applyBorder="1" applyAlignment="1">
      <alignment horizontal="center" vertical="center"/>
    </xf>
    <xf numFmtId="165" fontId="5" fillId="0" borderId="86" xfId="2" applyNumberFormat="1" applyFont="1" applyFill="1" applyBorder="1" applyAlignment="1">
      <alignment horizontal="right" vertical="center"/>
    </xf>
    <xf numFmtId="181" fontId="5" fillId="0" borderId="4" xfId="2" applyNumberFormat="1" applyFont="1" applyFill="1" applyBorder="1" applyAlignment="1">
      <alignment horizontal="right"/>
    </xf>
    <xf numFmtId="165" fontId="5" fillId="2" borderId="0" xfId="2039" applyNumberFormat="1" applyFont="1" applyFill="1" applyBorder="1" applyAlignment="1">
      <alignment vertical="center"/>
    </xf>
    <xf numFmtId="0" fontId="5" fillId="0" borderId="0" xfId="37887" quotePrefix="1" applyNumberFormat="1" applyFont="1" applyFill="1" applyBorder="1" applyAlignment="1">
      <alignment vertical="center"/>
    </xf>
    <xf numFmtId="0" fontId="27" fillId="0" borderId="0" xfId="1962" applyFont="1"/>
    <xf numFmtId="166" fontId="5" fillId="0" borderId="123" xfId="1" applyNumberFormat="1" applyFont="1" applyFill="1" applyBorder="1" applyAlignment="1">
      <alignment vertical="center"/>
    </xf>
    <xf numFmtId="0" fontId="27" fillId="0" borderId="0" xfId="0" applyFont="1" applyAlignment="1">
      <alignment horizontal="left"/>
    </xf>
    <xf numFmtId="166" fontId="5" fillId="0" borderId="3" xfId="4" applyNumberFormat="1" applyFont="1" applyBorder="1"/>
    <xf numFmtId="165" fontId="5" fillId="0" borderId="0" xfId="0" applyNumberFormat="1" applyFont="1" applyAlignment="1">
      <alignment vertical="center"/>
    </xf>
    <xf numFmtId="0" fontId="158" fillId="0" borderId="0" xfId="3856" applyFont="1"/>
    <xf numFmtId="37" fontId="5" fillId="0" borderId="7" xfId="4" applyNumberFormat="1" applyFont="1" applyBorder="1" applyAlignment="1">
      <alignment horizontal="center"/>
    </xf>
    <xf numFmtId="37" fontId="5" fillId="0" borderId="0" xfId="0" applyNumberFormat="1" applyFont="1"/>
    <xf numFmtId="37" fontId="5" fillId="0" borderId="0" xfId="0" applyNumberFormat="1" applyFont="1" applyAlignment="1">
      <alignment vertical="top"/>
    </xf>
    <xf numFmtId="173" fontId="5" fillId="0" borderId="7" xfId="4" applyNumberFormat="1" applyFont="1" applyBorder="1" applyAlignment="1">
      <alignment horizontal="center" wrapText="1"/>
    </xf>
    <xf numFmtId="37" fontId="5" fillId="0" borderId="0" xfId="0" applyNumberFormat="1" applyFont="1" applyAlignment="1">
      <alignment vertical="center" wrapText="1"/>
    </xf>
    <xf numFmtId="37" fontId="6" fillId="0" borderId="0" xfId="0" applyNumberFormat="1" applyFont="1" applyAlignment="1">
      <alignment horizontal="left" vertical="center"/>
    </xf>
    <xf numFmtId="37" fontId="8" fillId="0" borderId="0" xfId="0" applyNumberFormat="1" applyFont="1" applyAlignment="1">
      <alignment horizontal="right" vertical="center"/>
    </xf>
    <xf numFmtId="38" fontId="5" fillId="0" borderId="123" xfId="1" applyNumberFormat="1" applyFont="1" applyBorder="1" applyAlignment="1">
      <alignment horizontal="center" vertical="center"/>
    </xf>
    <xf numFmtId="0" fontId="5" fillId="0" borderId="123" xfId="1962" applyFont="1" applyBorder="1" applyAlignment="1">
      <alignment vertical="center"/>
    </xf>
    <xf numFmtId="43" fontId="5" fillId="0" borderId="123" xfId="1962" applyNumberFormat="1" applyFont="1" applyBorder="1" applyAlignment="1">
      <alignment vertical="center"/>
    </xf>
    <xf numFmtId="44" fontId="6" fillId="0" borderId="0" xfId="37887" quotePrefix="1" applyNumberFormat="1" applyFont="1" applyFill="1" applyBorder="1" applyAlignment="1">
      <alignment vertical="center"/>
    </xf>
    <xf numFmtId="0" fontId="167" fillId="0" borderId="0" xfId="1965" quotePrefix="1" applyFont="1" applyAlignment="1">
      <alignment horizontal="center" vertical="center"/>
    </xf>
    <xf numFmtId="0" fontId="158" fillId="0" borderId="0" xfId="1965" applyFont="1"/>
    <xf numFmtId="0" fontId="158" fillId="0" borderId="0" xfId="0" applyFont="1" applyAlignment="1">
      <alignment horizontal="center" vertical="center"/>
    </xf>
    <xf numFmtId="0" fontId="162" fillId="0" borderId="0" xfId="0" applyFont="1" applyAlignment="1">
      <alignment horizontal="center" vertical="center"/>
    </xf>
    <xf numFmtId="0" fontId="6" fillId="0" borderId="121" xfId="4" applyFont="1" applyBorder="1" applyAlignment="1">
      <alignment vertical="center"/>
    </xf>
    <xf numFmtId="165" fontId="5" fillId="0" borderId="0" xfId="1" applyNumberFormat="1" applyFont="1" applyFill="1" applyBorder="1"/>
    <xf numFmtId="0" fontId="6" fillId="0" borderId="121" xfId="4" applyFont="1" applyBorder="1"/>
    <xf numFmtId="181" fontId="6" fillId="0" borderId="86" xfId="4" applyNumberFormat="1" applyFont="1" applyBorder="1" applyAlignment="1">
      <alignment vertical="center"/>
    </xf>
    <xf numFmtId="0" fontId="6" fillId="0" borderId="113" xfId="4" applyFont="1" applyBorder="1"/>
    <xf numFmtId="0" fontId="5" fillId="0" borderId="9" xfId="1965" applyFont="1" applyBorder="1"/>
    <xf numFmtId="44" fontId="6" fillId="0" borderId="9" xfId="4" applyNumberFormat="1" applyFont="1" applyBorder="1"/>
    <xf numFmtId="181" fontId="6" fillId="0" borderId="86" xfId="22" applyNumberFormat="1" applyFont="1" applyBorder="1"/>
    <xf numFmtId="0" fontId="6" fillId="0" borderId="9" xfId="4" applyFont="1" applyBorder="1"/>
    <xf numFmtId="165" fontId="5" fillId="0" borderId="1" xfId="1963" applyNumberFormat="1" applyFont="1" applyBorder="1" applyAlignment="1">
      <alignment horizontal="right" vertical="center"/>
    </xf>
    <xf numFmtId="183" fontId="5" fillId="0" borderId="2" xfId="2012" applyNumberFormat="1" applyFont="1" applyBorder="1" applyAlignment="1" applyProtection="1">
      <alignment horizontal="right" vertical="center"/>
      <protection locked="0"/>
    </xf>
    <xf numFmtId="10" fontId="5" fillId="0" borderId="124" xfId="3" quotePrefix="1" applyNumberFormat="1" applyFont="1" applyBorder="1" applyAlignment="1">
      <alignment horizontal="right" vertical="center"/>
    </xf>
    <xf numFmtId="183" fontId="6" fillId="0" borderId="2" xfId="2012" quotePrefix="1" applyNumberFormat="1" applyFont="1" applyBorder="1" applyAlignment="1">
      <alignment horizontal="right" vertical="center"/>
    </xf>
    <xf numFmtId="10" fontId="13" fillId="0" borderId="2" xfId="2012" applyNumberFormat="1" applyFont="1" applyBorder="1" applyAlignment="1">
      <alignment horizontal="right" vertical="center"/>
    </xf>
    <xf numFmtId="165" fontId="5" fillId="2" borderId="124" xfId="21" applyNumberFormat="1" applyFont="1" applyFill="1" applyBorder="1" applyAlignment="1" applyProtection="1">
      <alignment vertical="center"/>
      <protection locked="0"/>
    </xf>
    <xf numFmtId="165" fontId="5" fillId="2" borderId="124" xfId="2012" applyNumberFormat="1" applyFont="1" applyFill="1" applyBorder="1" applyAlignment="1" applyProtection="1">
      <alignment horizontal="right" vertical="center"/>
      <protection locked="0"/>
    </xf>
    <xf numFmtId="167" fontId="5" fillId="0" borderId="124" xfId="3" applyNumberFormat="1" applyFont="1" applyFill="1" applyBorder="1" applyAlignment="1">
      <alignment vertical="center"/>
    </xf>
    <xf numFmtId="165" fontId="5" fillId="2" borderId="124" xfId="2" applyNumberFormat="1" applyFont="1" applyFill="1" applyBorder="1" applyAlignment="1">
      <alignment horizontal="right" vertical="center"/>
    </xf>
    <xf numFmtId="0" fontId="5" fillId="0" borderId="124" xfId="1965" applyFont="1" applyBorder="1" applyAlignment="1">
      <alignment horizontal="center"/>
    </xf>
    <xf numFmtId="167" fontId="5" fillId="2" borderId="124" xfId="1043" applyNumberFormat="1" applyFont="1" applyFill="1" applyBorder="1" applyAlignment="1">
      <alignment horizontal="right" vertical="center"/>
    </xf>
    <xf numFmtId="166" fontId="5" fillId="3" borderId="124" xfId="1" applyNumberFormat="1" applyFont="1" applyFill="1" applyBorder="1" applyAlignment="1">
      <alignment vertical="center"/>
    </xf>
    <xf numFmtId="166" fontId="5" fillId="0" borderId="124" xfId="1" applyNumberFormat="1" applyFont="1" applyFill="1" applyBorder="1" applyAlignment="1">
      <alignment vertical="center"/>
    </xf>
    <xf numFmtId="166" fontId="5" fillId="0" borderId="124" xfId="1" applyNumberFormat="1" applyFont="1" applyBorder="1" applyAlignment="1">
      <alignment vertical="center"/>
    </xf>
    <xf numFmtId="0" fontId="5" fillId="0" borderId="124" xfId="4" applyFont="1" applyBorder="1" applyAlignment="1">
      <alignment horizontal="left" vertical="center"/>
    </xf>
    <xf numFmtId="1" fontId="5" fillId="0" borderId="124" xfId="4" applyNumberFormat="1" applyFont="1" applyBorder="1" applyAlignment="1">
      <alignment horizontal="center" vertical="center"/>
    </xf>
    <xf numFmtId="166" fontId="5" fillId="0" borderId="124" xfId="1" applyNumberFormat="1" applyFont="1" applyFill="1" applyBorder="1" applyAlignment="1">
      <alignment horizontal="right" vertical="center"/>
    </xf>
    <xf numFmtId="10" fontId="5" fillId="3" borderId="124" xfId="3" applyNumberFormat="1" applyFont="1" applyFill="1" applyBorder="1" applyAlignment="1">
      <alignment horizontal="center" vertical="center"/>
    </xf>
    <xf numFmtId="166" fontId="5" fillId="0" borderId="124" xfId="1" applyNumberFormat="1" applyFont="1" applyBorder="1" applyAlignment="1">
      <alignment horizontal="center" vertical="center"/>
    </xf>
    <xf numFmtId="0" fontId="6" fillId="0" borderId="125" xfId="4" applyFont="1" applyBorder="1" applyAlignment="1">
      <alignment horizontal="center"/>
    </xf>
    <xf numFmtId="0" fontId="6" fillId="0" borderId="126" xfId="4" applyFont="1" applyBorder="1" applyAlignment="1">
      <alignment horizontal="center"/>
    </xf>
    <xf numFmtId="0" fontId="6" fillId="0" borderId="121" xfId="4" applyFont="1" applyBorder="1" applyAlignment="1">
      <alignment horizontal="center" vertical="center"/>
    </xf>
    <xf numFmtId="0" fontId="6" fillId="0" borderId="120" xfId="4" applyFont="1" applyBorder="1" applyAlignment="1">
      <alignment horizontal="center" vertical="center"/>
    </xf>
    <xf numFmtId="166" fontId="6" fillId="0" borderId="120" xfId="2408" quotePrefix="1" applyNumberFormat="1" applyFont="1" applyFill="1" applyBorder="1" applyAlignment="1">
      <alignment horizontal="center" vertical="center"/>
    </xf>
    <xf numFmtId="166" fontId="6" fillId="0" borderId="120" xfId="2408" quotePrefix="1" applyNumberFormat="1" applyFont="1" applyBorder="1" applyAlignment="1">
      <alignment horizontal="center" vertical="center"/>
    </xf>
    <xf numFmtId="165" fontId="6" fillId="0" borderId="119" xfId="2" applyNumberFormat="1" applyFont="1" applyFill="1" applyBorder="1" applyAlignment="1">
      <alignment vertical="center"/>
    </xf>
    <xf numFmtId="0" fontId="5" fillId="0" borderId="119" xfId="4" applyFont="1" applyBorder="1" applyAlignment="1">
      <alignment horizontal="center" vertical="center"/>
    </xf>
    <xf numFmtId="0" fontId="6" fillId="0" borderId="122" xfId="4" applyFont="1" applyBorder="1" applyAlignment="1">
      <alignment horizontal="center" vertical="center"/>
    </xf>
    <xf numFmtId="165" fontId="6" fillId="0" borderId="119" xfId="21" applyNumberFormat="1" applyFont="1" applyFill="1" applyBorder="1" applyAlignment="1">
      <alignment horizontal="center" vertical="center"/>
    </xf>
    <xf numFmtId="0" fontId="6" fillId="0" borderId="120" xfId="4" applyFont="1" applyBorder="1" applyAlignment="1">
      <alignment horizontal="centerContinuous" vertical="center"/>
    </xf>
    <xf numFmtId="0" fontId="6" fillId="0" borderId="121" xfId="4" quotePrefix="1" applyFont="1" applyBorder="1" applyAlignment="1">
      <alignment vertical="center"/>
    </xf>
    <xf numFmtId="0" fontId="6" fillId="0" borderId="120" xfId="4" quotePrefix="1" applyFont="1" applyBorder="1" applyAlignment="1">
      <alignment vertical="center"/>
    </xf>
    <xf numFmtId="0" fontId="5" fillId="0" borderId="3" xfId="4" applyFont="1" applyBorder="1" applyAlignment="1">
      <alignment horizontal="right" vertical="center"/>
    </xf>
    <xf numFmtId="0" fontId="5" fillId="0" borderId="120" xfId="4" applyFont="1" applyBorder="1" applyAlignment="1">
      <alignment horizontal="center" vertical="center"/>
    </xf>
    <xf numFmtId="166" fontId="6" fillId="0" borderId="121" xfId="2408" quotePrefix="1" applyNumberFormat="1" applyFont="1" applyBorder="1" applyAlignment="1">
      <alignment horizontal="center" vertical="center"/>
    </xf>
    <xf numFmtId="0" fontId="6" fillId="0" borderId="120" xfId="4" quotePrefix="1" applyFont="1" applyBorder="1" applyAlignment="1">
      <alignment horizontal="centerContinuous" vertical="center"/>
    </xf>
    <xf numFmtId="165" fontId="5" fillId="0" borderId="3" xfId="2" applyNumberFormat="1" applyFont="1" applyFill="1" applyBorder="1" applyAlignment="1">
      <alignment horizontal="left" vertical="center"/>
    </xf>
    <xf numFmtId="0" fontId="5" fillId="0" borderId="121" xfId="3856" applyFont="1" applyBorder="1"/>
    <xf numFmtId="0" fontId="6" fillId="0" borderId="120" xfId="3856" applyFont="1" applyBorder="1" applyAlignment="1">
      <alignment horizontal="center"/>
    </xf>
    <xf numFmtId="0" fontId="6" fillId="0" borderId="120" xfId="3856" applyFont="1" applyBorder="1"/>
    <xf numFmtId="37" fontId="6" fillId="0" borderId="120" xfId="4" applyNumberFormat="1" applyFont="1" applyBorder="1" applyAlignment="1">
      <alignment horizontal="center" vertical="center"/>
    </xf>
    <xf numFmtId="165" fontId="6" fillId="0" borderId="120" xfId="21" applyNumberFormat="1" applyFont="1" applyBorder="1" applyAlignment="1">
      <alignment vertical="center"/>
    </xf>
    <xf numFmtId="165" fontId="5" fillId="0" borderId="120" xfId="21" applyNumberFormat="1" applyFont="1" applyBorder="1" applyAlignment="1">
      <alignment vertical="center"/>
    </xf>
    <xf numFmtId="17" fontId="5" fillId="0" borderId="120" xfId="4" applyNumberFormat="1" applyFont="1" applyBorder="1" applyAlignment="1">
      <alignment horizontal="left" vertical="center"/>
    </xf>
    <xf numFmtId="165" fontId="5" fillId="0" borderId="120" xfId="2" applyNumberFormat="1" applyFont="1" applyFill="1" applyBorder="1" applyAlignment="1">
      <alignment vertical="center"/>
    </xf>
    <xf numFmtId="165" fontId="5" fillId="0" borderId="120" xfId="2" applyNumberFormat="1" applyFont="1" applyBorder="1" applyAlignment="1">
      <alignment vertical="center"/>
    </xf>
    <xf numFmtId="165" fontId="5" fillId="0" borderId="120" xfId="21" applyNumberFormat="1" applyFont="1" applyFill="1" applyBorder="1" applyAlignment="1">
      <alignment horizontal="center" vertical="center"/>
    </xf>
    <xf numFmtId="165" fontId="5" fillId="0" borderId="2" xfId="2" applyNumberFormat="1" applyFont="1" applyBorder="1" applyAlignment="1">
      <alignment vertical="center"/>
    </xf>
    <xf numFmtId="165" fontId="5" fillId="0" borderId="2" xfId="2" applyNumberFormat="1" applyFont="1" applyBorder="1" applyAlignment="1">
      <alignment horizontal="right" vertical="center"/>
    </xf>
    <xf numFmtId="165" fontId="5" fillId="0" borderId="118" xfId="2" applyNumberFormat="1" applyFont="1" applyBorder="1" applyAlignment="1">
      <alignment horizontal="right" vertical="center"/>
    </xf>
    <xf numFmtId="165" fontId="5" fillId="0" borderId="118" xfId="2" applyNumberFormat="1" applyFont="1" applyBorder="1" applyAlignment="1">
      <alignment vertical="center"/>
    </xf>
    <xf numFmtId="165" fontId="5" fillId="0" borderId="123" xfId="2" applyNumberFormat="1" applyFont="1" applyFill="1" applyBorder="1" applyAlignment="1">
      <alignment vertical="center"/>
    </xf>
    <xf numFmtId="166" fontId="5" fillId="0" borderId="123" xfId="2406" applyNumberFormat="1" applyFont="1" applyFill="1" applyBorder="1" applyAlignment="1">
      <alignment vertical="center"/>
    </xf>
    <xf numFmtId="0" fontId="6" fillId="0" borderId="124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166" fontId="5" fillId="0" borderId="127" xfId="1" applyNumberFormat="1" applyFont="1" applyFill="1" applyBorder="1" applyAlignment="1">
      <alignment vertical="center"/>
    </xf>
    <xf numFmtId="166" fontId="5" fillId="0" borderId="120" xfId="1" applyNumberFormat="1" applyFont="1" applyFill="1" applyBorder="1" applyAlignment="1">
      <alignment vertical="center"/>
    </xf>
    <xf numFmtId="165" fontId="6" fillId="0" borderId="120" xfId="2" applyNumberFormat="1" applyFont="1" applyFill="1" applyBorder="1" applyAlignment="1">
      <alignment vertical="center"/>
    </xf>
    <xf numFmtId="0" fontId="5" fillId="0" borderId="2" xfId="0" applyFont="1" applyBorder="1"/>
    <xf numFmtId="166" fontId="5" fillId="0" borderId="125" xfId="1" applyNumberFormat="1" applyFont="1" applyFill="1" applyBorder="1" applyAlignment="1">
      <alignment vertical="center"/>
    </xf>
    <xf numFmtId="0" fontId="5" fillId="0" borderId="124" xfId="0" applyFont="1" applyBorder="1" applyAlignment="1">
      <alignment horizontal="center" vertical="center"/>
    </xf>
    <xf numFmtId="15" fontId="5" fillId="0" borderId="12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5" fillId="3" borderId="124" xfId="1" applyNumberFormat="1" applyFont="1" applyFill="1" applyBorder="1" applyProtection="1">
      <protection locked="0"/>
    </xf>
    <xf numFmtId="0" fontId="6" fillId="0" borderId="127" xfId="37811" quotePrefix="1" applyNumberFormat="1" applyFont="1" applyFill="1" applyBorder="1" applyAlignment="1">
      <alignment horizontal="center" vertical="center"/>
    </xf>
    <xf numFmtId="0" fontId="29" fillId="0" borderId="127" xfId="1962" applyFont="1" applyBorder="1" applyAlignment="1">
      <alignment horizontal="center"/>
    </xf>
    <xf numFmtId="0" fontId="29" fillId="0" borderId="128" xfId="1962" applyFont="1" applyBorder="1" applyAlignment="1">
      <alignment horizontal="center"/>
    </xf>
    <xf numFmtId="165" fontId="5" fillId="0" borderId="123" xfId="38092" applyNumberFormat="1" applyFont="1" applyFill="1" applyBorder="1" applyAlignment="1">
      <alignment vertical="center"/>
    </xf>
    <xf numFmtId="166" fontId="5" fillId="0" borderId="123" xfId="1962" applyNumberFormat="1" applyFont="1" applyBorder="1" applyAlignment="1">
      <alignment vertical="center"/>
    </xf>
    <xf numFmtId="0" fontId="5" fillId="0" borderId="127" xfId="37887" quotePrefix="1" applyNumberFormat="1" applyFont="1" applyFill="1" applyBorder="1" applyAlignment="1">
      <alignment vertical="center"/>
    </xf>
    <xf numFmtId="166" fontId="5" fillId="0" borderId="127" xfId="1962" applyNumberFormat="1" applyFont="1" applyBorder="1" applyAlignment="1">
      <alignment vertical="center"/>
    </xf>
    <xf numFmtId="0" fontId="5" fillId="0" borderId="129" xfId="1962" applyFont="1" applyBorder="1" applyAlignment="1">
      <alignment vertical="center"/>
    </xf>
    <xf numFmtId="0" fontId="29" fillId="0" borderId="123" xfId="1962" applyFont="1" applyBorder="1" applyAlignment="1">
      <alignment vertical="center"/>
    </xf>
    <xf numFmtId="0" fontId="29" fillId="0" borderId="9" xfId="1962" applyFont="1" applyBorder="1" applyAlignment="1">
      <alignment vertical="center"/>
    </xf>
    <xf numFmtId="15" fontId="5" fillId="0" borderId="124" xfId="4" applyNumberFormat="1" applyFont="1" applyBorder="1" applyAlignment="1">
      <alignment horizontal="center" vertical="center"/>
    </xf>
    <xf numFmtId="0" fontId="5" fillId="0" borderId="124" xfId="4" applyFont="1" applyBorder="1" applyAlignment="1">
      <alignment horizontal="center" vertical="center"/>
    </xf>
    <xf numFmtId="10" fontId="5" fillId="2" borderId="124" xfId="4" applyNumberFormat="1" applyFont="1" applyFill="1" applyBorder="1" applyAlignment="1" applyProtection="1">
      <alignment horizontal="right" vertical="center"/>
      <protection locked="0"/>
    </xf>
    <xf numFmtId="166" fontId="5" fillId="0" borderId="124" xfId="2408" applyNumberFormat="1" applyFont="1" applyFill="1" applyBorder="1" applyAlignment="1" applyProtection="1">
      <alignment vertical="center"/>
      <protection locked="0"/>
    </xf>
    <xf numFmtId="0" fontId="6" fillId="0" borderId="127" xfId="4" applyFont="1" applyBorder="1" applyAlignment="1">
      <alignment horizontal="center" vertical="center"/>
    </xf>
    <xf numFmtId="0" fontId="6" fillId="0" borderId="127" xfId="4" applyFont="1" applyBorder="1" applyAlignment="1">
      <alignment vertical="center"/>
    </xf>
    <xf numFmtId="166" fontId="6" fillId="0" borderId="127" xfId="4" applyNumberFormat="1" applyFont="1" applyBorder="1" applyAlignment="1">
      <alignment vertical="center"/>
    </xf>
    <xf numFmtId="0" fontId="6" fillId="0" borderId="126" xfId="4" applyFont="1" applyBorder="1" applyAlignment="1">
      <alignment horizontal="center" vertical="center"/>
    </xf>
    <xf numFmtId="10" fontId="5" fillId="0" borderId="127" xfId="3" applyNumberFormat="1" applyFont="1" applyFill="1" applyBorder="1" applyAlignment="1">
      <alignment horizontal="right" vertical="center"/>
    </xf>
    <xf numFmtId="17" fontId="5" fillId="0" borderId="126" xfId="4" applyNumberFormat="1" applyFont="1" applyBorder="1" applyAlignment="1">
      <alignment horizontal="left" vertical="center"/>
    </xf>
    <xf numFmtId="3" fontId="5" fillId="0" borderId="127" xfId="4" applyNumberFormat="1" applyFont="1" applyBorder="1" applyAlignment="1">
      <alignment horizontal="centerContinuous" vertical="center"/>
    </xf>
    <xf numFmtId="166" fontId="5" fillId="3" borderId="124" xfId="1" applyNumberFormat="1" applyFont="1" applyFill="1" applyBorder="1" applyAlignment="1" applyProtection="1">
      <alignment vertical="center"/>
      <protection locked="0"/>
    </xf>
    <xf numFmtId="166" fontId="5" fillId="0" borderId="2" xfId="2408" applyNumberFormat="1" applyFont="1" applyFill="1" applyBorder="1" applyAlignment="1" applyProtection="1">
      <alignment vertical="center"/>
      <protection locked="0"/>
    </xf>
    <xf numFmtId="10" fontId="5" fillId="2" borderId="124" xfId="4" applyNumberFormat="1" applyFont="1" applyFill="1" applyBorder="1" applyAlignment="1">
      <alignment vertical="center"/>
    </xf>
    <xf numFmtId="10" fontId="5" fillId="2" borderId="124" xfId="4" applyNumberFormat="1" applyFont="1" applyFill="1" applyBorder="1" applyAlignment="1">
      <alignment horizontal="right" vertical="center"/>
    </xf>
    <xf numFmtId="165" fontId="5" fillId="3" borderId="124" xfId="21" applyNumberFormat="1" applyFont="1" applyFill="1" applyBorder="1" applyAlignment="1" applyProtection="1">
      <alignment horizontal="center" vertical="center"/>
      <protection locked="0"/>
    </xf>
    <xf numFmtId="166" fontId="5" fillId="2" borderId="124" xfId="1" applyNumberFormat="1" applyFont="1" applyFill="1" applyBorder="1" applyAlignment="1" applyProtection="1">
      <alignment vertical="center"/>
      <protection locked="0"/>
    </xf>
    <xf numFmtId="10" fontId="5" fillId="3" borderId="124" xfId="3853" applyNumberFormat="1" applyFont="1" applyFill="1" applyBorder="1" applyAlignment="1">
      <alignment vertical="center"/>
    </xf>
    <xf numFmtId="0" fontId="5" fillId="0" borderId="124" xfId="4" applyFont="1" applyBorder="1" applyAlignment="1">
      <alignment vertical="center"/>
    </xf>
    <xf numFmtId="166" fontId="6" fillId="0" borderId="124" xfId="2408" applyNumberFormat="1" applyFont="1" applyBorder="1" applyAlignment="1">
      <alignment vertical="center"/>
    </xf>
    <xf numFmtId="165" fontId="27" fillId="0" borderId="120" xfId="21" applyNumberFormat="1" applyFont="1" applyBorder="1" applyAlignment="1">
      <alignment vertical="center"/>
    </xf>
    <xf numFmtId="17" fontId="5" fillId="0" borderId="127" xfId="4" applyNumberFormat="1" applyFont="1" applyBorder="1" applyAlignment="1">
      <alignment horizontal="left" vertical="center"/>
    </xf>
    <xf numFmtId="166" fontId="5" fillId="0" borderId="127" xfId="2408" applyNumberFormat="1" applyFont="1" applyBorder="1" applyAlignment="1">
      <alignment vertical="center"/>
    </xf>
    <xf numFmtId="166" fontId="5" fillId="0" borderId="127" xfId="4" applyNumberFormat="1" applyFont="1" applyBorder="1" applyAlignment="1">
      <alignment horizontal="center" vertical="center"/>
    </xf>
    <xf numFmtId="17" fontId="6" fillId="0" borderId="120" xfId="4" applyNumberFormat="1" applyFont="1" applyBorder="1" applyAlignment="1">
      <alignment horizontal="left" vertical="center"/>
    </xf>
    <xf numFmtId="166" fontId="159" fillId="0" borderId="120" xfId="2408" applyNumberFormat="1" applyFont="1" applyBorder="1" applyAlignment="1">
      <alignment vertical="center"/>
    </xf>
    <xf numFmtId="166" fontId="6" fillId="0" borderId="120" xfId="4" applyNumberFormat="1" applyFont="1" applyBorder="1" applyAlignment="1">
      <alignment horizontal="center" vertical="center"/>
    </xf>
    <xf numFmtId="166" fontId="6" fillId="0" borderId="127" xfId="2408" applyNumberFormat="1" applyFont="1" applyBorder="1" applyAlignment="1">
      <alignment vertical="center"/>
    </xf>
    <xf numFmtId="166" fontId="6" fillId="0" borderId="120" xfId="2408" applyNumberFormat="1" applyFont="1" applyBorder="1" applyAlignment="1">
      <alignment vertical="center"/>
    </xf>
    <xf numFmtId="166" fontId="5" fillId="0" borderId="120" xfId="4" applyNumberFormat="1" applyFont="1" applyBorder="1" applyAlignment="1">
      <alignment horizontal="center" vertical="center"/>
    </xf>
    <xf numFmtId="165" fontId="6" fillId="0" borderId="127" xfId="21" applyNumberFormat="1" applyFont="1" applyBorder="1" applyAlignment="1">
      <alignment vertical="center"/>
    </xf>
    <xf numFmtId="165" fontId="5" fillId="0" borderId="127" xfId="21" applyNumberFormat="1" applyFont="1" applyBorder="1" applyAlignment="1">
      <alignment horizontal="center" vertical="center"/>
    </xf>
    <xf numFmtId="0" fontId="6" fillId="0" borderId="124" xfId="4" applyFont="1" applyBorder="1" applyAlignment="1">
      <alignment horizontal="centerContinuous" vertical="center"/>
    </xf>
    <xf numFmtId="0" fontId="6" fillId="0" borderId="120" xfId="4" applyFont="1" applyBorder="1" applyAlignment="1">
      <alignment horizontal="left" vertical="center"/>
    </xf>
    <xf numFmtId="166" fontId="27" fillId="0" borderId="127" xfId="1" applyNumberFormat="1" applyFont="1" applyBorder="1" applyAlignment="1">
      <alignment vertical="center"/>
    </xf>
    <xf numFmtId="166" fontId="6" fillId="0" borderId="120" xfId="1" applyNumberFormat="1" applyFont="1" applyBorder="1" applyAlignment="1">
      <alignment vertical="center"/>
    </xf>
    <xf numFmtId="166" fontId="6" fillId="0" borderId="127" xfId="4" applyNumberFormat="1" applyFont="1" applyBorder="1" applyAlignment="1">
      <alignment horizontal="center" vertical="center"/>
    </xf>
    <xf numFmtId="164" fontId="6" fillId="0" borderId="124" xfId="0" applyNumberFormat="1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 wrapText="1"/>
    </xf>
    <xf numFmtId="165" fontId="5" fillId="0" borderId="122" xfId="2" applyNumberFormat="1" applyFont="1" applyBorder="1" applyAlignment="1" applyProtection="1">
      <alignment vertical="center"/>
      <protection locked="0"/>
    </xf>
    <xf numFmtId="165" fontId="5" fillId="3" borderId="124" xfId="2" applyNumberFormat="1" applyFont="1" applyFill="1" applyBorder="1" applyAlignment="1" applyProtection="1">
      <alignment vertical="center"/>
      <protection locked="0"/>
    </xf>
    <xf numFmtId="165" fontId="5" fillId="0" borderId="118" xfId="2" applyNumberFormat="1" applyFont="1" applyBorder="1" applyAlignment="1" applyProtection="1">
      <alignment vertical="center"/>
    </xf>
    <xf numFmtId="10" fontId="5" fillId="0" borderId="124" xfId="3" applyNumberFormat="1" applyFont="1" applyFill="1" applyBorder="1" applyAlignment="1">
      <alignment horizontal="right" vertical="center"/>
    </xf>
    <xf numFmtId="10" fontId="5" fillId="0" borderId="124" xfId="3" applyNumberFormat="1" applyFont="1" applyBorder="1" applyAlignment="1">
      <alignment horizontal="right" vertical="center"/>
    </xf>
    <xf numFmtId="10" fontId="5" fillId="111" borderId="124" xfId="3" applyNumberFormat="1" applyFont="1" applyFill="1" applyBorder="1" applyAlignment="1">
      <alignment horizontal="right" vertical="center"/>
    </xf>
    <xf numFmtId="9" fontId="5" fillId="3" borderId="124" xfId="3" applyFont="1" applyFill="1" applyBorder="1" applyAlignment="1">
      <alignment horizontal="right" vertical="center"/>
    </xf>
    <xf numFmtId="0" fontId="5" fillId="3" borderId="124" xfId="3" applyNumberFormat="1" applyFont="1" applyFill="1" applyBorder="1" applyAlignment="1">
      <alignment horizontal="right" vertical="center"/>
    </xf>
    <xf numFmtId="167" fontId="5" fillId="0" borderId="124" xfId="3" applyNumberFormat="1" applyFont="1" applyBorder="1" applyAlignment="1">
      <alignment horizontal="right" vertical="center"/>
    </xf>
    <xf numFmtId="167" fontId="5" fillId="2" borderId="124" xfId="3" applyNumberFormat="1" applyFont="1" applyFill="1" applyBorder="1" applyAlignment="1">
      <alignment horizontal="right" vertical="center"/>
    </xf>
    <xf numFmtId="9" fontId="5" fillId="2" borderId="124" xfId="3" applyFont="1" applyFill="1" applyBorder="1" applyAlignment="1">
      <alignment horizontal="right" vertical="center"/>
    </xf>
    <xf numFmtId="10" fontId="5" fillId="2" borderId="124" xfId="3" applyNumberFormat="1" applyFont="1" applyFill="1" applyBorder="1" applyAlignment="1">
      <alignment horizontal="right" vertical="center"/>
    </xf>
    <xf numFmtId="167" fontId="5" fillId="2" borderId="124" xfId="0" applyNumberFormat="1" applyFont="1" applyFill="1" applyBorder="1" applyAlignment="1">
      <alignment horizontal="right" vertical="center"/>
    </xf>
    <xf numFmtId="5" fontId="6" fillId="0" borderId="123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43" fontId="5" fillId="0" borderId="123" xfId="1442" applyFont="1" applyFill="1" applyBorder="1"/>
    <xf numFmtId="166" fontId="5" fillId="0" borderId="123" xfId="1442" applyNumberFormat="1" applyFont="1" applyFill="1" applyBorder="1"/>
    <xf numFmtId="0" fontId="5" fillId="0" borderId="9" xfId="0" applyFont="1" applyBorder="1" applyAlignment="1">
      <alignment horizontal="left"/>
    </xf>
    <xf numFmtId="0" fontId="5" fillId="0" borderId="106" xfId="0" applyFont="1" applyBorder="1" applyAlignment="1">
      <alignment horizontal="left"/>
    </xf>
    <xf numFmtId="166" fontId="5" fillId="0" borderId="129" xfId="1442" applyNumberFormat="1" applyFont="1" applyBorder="1"/>
    <xf numFmtId="166" fontId="5" fillId="0" borderId="123" xfId="1" applyNumberFormat="1" applyFont="1" applyBorder="1"/>
    <xf numFmtId="165" fontId="6" fillId="0" borderId="123" xfId="2" applyNumberFormat="1" applyFont="1" applyBorder="1"/>
    <xf numFmtId="166" fontId="5" fillId="0" borderId="129" xfId="1" applyNumberFormat="1" applyFont="1" applyBorder="1"/>
    <xf numFmtId="0" fontId="5" fillId="0" borderId="9" xfId="0" applyFont="1" applyBorder="1"/>
    <xf numFmtId="0" fontId="6" fillId="0" borderId="123" xfId="0" applyFont="1" applyBorder="1" applyAlignment="1">
      <alignment vertical="center"/>
    </xf>
    <xf numFmtId="10" fontId="5" fillId="0" borderId="127" xfId="0" applyNumberFormat="1" applyFont="1" applyBorder="1" applyAlignment="1">
      <alignment vertical="center"/>
    </xf>
    <xf numFmtId="10" fontId="5" fillId="0" borderId="127" xfId="3" applyNumberFormat="1" applyFont="1" applyBorder="1" applyAlignment="1">
      <alignment vertical="center"/>
    </xf>
    <xf numFmtId="5" fontId="5" fillId="0" borderId="124" xfId="4" applyNumberFormat="1" applyFont="1" applyBorder="1" applyAlignment="1">
      <alignment horizontal="center"/>
    </xf>
    <xf numFmtId="0" fontId="5" fillId="0" borderId="124" xfId="4" applyFont="1" applyBorder="1" applyAlignment="1">
      <alignment horizontal="center"/>
    </xf>
    <xf numFmtId="166" fontId="5" fillId="2" borderId="124" xfId="2408" applyNumberFormat="1" applyFont="1" applyFill="1" applyBorder="1" applyAlignment="1" applyProtection="1">
      <alignment horizontal="right" vertical="center"/>
      <protection locked="0"/>
    </xf>
    <xf numFmtId="165" fontId="5" fillId="0" borderId="122" xfId="21" applyNumberFormat="1" applyFont="1" applyFill="1" applyBorder="1" applyAlignment="1" applyProtection="1">
      <alignment horizontal="right" vertical="center"/>
    </xf>
    <xf numFmtId="165" fontId="5" fillId="0" borderId="122" xfId="21" applyNumberFormat="1" applyFont="1" applyFill="1" applyBorder="1" applyAlignment="1" applyProtection="1">
      <alignment horizontal="center" vertical="center"/>
    </xf>
    <xf numFmtId="166" fontId="6" fillId="2" borderId="124" xfId="2408" applyNumberFormat="1" applyFont="1" applyFill="1" applyBorder="1" applyAlignment="1" applyProtection="1">
      <alignment horizontal="center" vertical="center"/>
    </xf>
    <xf numFmtId="166" fontId="5" fillId="111" borderId="124" xfId="2408" applyNumberFormat="1" applyFont="1" applyFill="1" applyBorder="1" applyAlignment="1" applyProtection="1">
      <alignment horizontal="right" vertical="center"/>
    </xf>
    <xf numFmtId="166" fontId="5" fillId="2" borderId="124" xfId="2408" applyNumberFormat="1" applyFont="1" applyFill="1" applyBorder="1" applyAlignment="1" applyProtection="1">
      <alignment horizontal="right" vertical="center"/>
    </xf>
    <xf numFmtId="166" fontId="5" fillId="0" borderId="124" xfId="2408" applyNumberFormat="1" applyFont="1" applyFill="1" applyBorder="1" applyAlignment="1" applyProtection="1">
      <alignment horizontal="right" vertical="center"/>
    </xf>
    <xf numFmtId="165" fontId="5" fillId="0" borderId="118" xfId="21" applyNumberFormat="1" applyFont="1" applyFill="1" applyBorder="1" applyAlignment="1" applyProtection="1">
      <alignment horizontal="right" vertical="center"/>
    </xf>
    <xf numFmtId="0" fontId="6" fillId="0" borderId="0" xfId="1965" quotePrefix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6" fillId="0" borderId="0" xfId="4" quotePrefix="1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justify"/>
    </xf>
    <xf numFmtId="0" fontId="6" fillId="0" borderId="0" xfId="4" quotePrefix="1" applyFont="1" applyAlignment="1">
      <alignment horizontal="center"/>
    </xf>
    <xf numFmtId="166" fontId="5" fillId="2" borderId="127" xfId="1" applyNumberFormat="1" applyFont="1" applyFill="1" applyBorder="1" applyAlignment="1">
      <alignment horizontal="right" vertical="center"/>
    </xf>
    <xf numFmtId="166" fontId="5" fillId="3" borderId="127" xfId="1" applyNumberFormat="1" applyFont="1" applyFill="1" applyBorder="1" applyAlignment="1">
      <alignment vertical="center"/>
    </xf>
    <xf numFmtId="170" fontId="5" fillId="0" borderId="127" xfId="1" applyNumberFormat="1" applyFont="1" applyFill="1" applyBorder="1" applyAlignment="1">
      <alignment horizontal="right"/>
    </xf>
    <xf numFmtId="166" fontId="5" fillId="3" borderId="127" xfId="2030" applyNumberFormat="1" applyFont="1" applyFill="1" applyBorder="1"/>
    <xf numFmtId="10" fontId="5" fillId="3" borderId="124" xfId="1043" applyNumberFormat="1" applyFont="1" applyFill="1" applyBorder="1" applyAlignment="1">
      <alignment vertical="center"/>
    </xf>
    <xf numFmtId="165" fontId="5" fillId="0" borderId="124" xfId="1963" applyNumberFormat="1" applyFont="1" applyBorder="1" applyAlignment="1">
      <alignment horizontal="right" vertical="center"/>
    </xf>
    <xf numFmtId="0" fontId="5" fillId="0" borderId="130" xfId="2012" applyFont="1" applyBorder="1" applyAlignment="1">
      <alignment horizontal="center"/>
    </xf>
    <xf numFmtId="184" fontId="5" fillId="0" borderId="124" xfId="0" applyNumberFormat="1" applyFont="1" applyBorder="1" applyAlignment="1">
      <alignment horizontal="right" vertical="center"/>
    </xf>
    <xf numFmtId="10" fontId="5" fillId="2" borderId="124" xfId="0" applyNumberFormat="1" applyFont="1" applyFill="1" applyBorder="1" applyAlignment="1">
      <alignment vertical="center"/>
    </xf>
    <xf numFmtId="1" fontId="5" fillId="0" borderId="124" xfId="55" applyNumberFormat="1" applyFont="1" applyBorder="1" applyAlignment="1">
      <alignment horizontal="center" vertical="center"/>
    </xf>
    <xf numFmtId="10" fontId="27" fillId="0" borderId="124" xfId="0" applyNumberFormat="1" applyFont="1" applyBorder="1" applyAlignment="1">
      <alignment vertical="center"/>
    </xf>
    <xf numFmtId="166" fontId="27" fillId="0" borderId="124" xfId="1" applyNumberFormat="1" applyFont="1" applyFill="1" applyBorder="1" applyAlignment="1">
      <alignment horizontal="right" vertical="center"/>
    </xf>
    <xf numFmtId="166" fontId="27" fillId="0" borderId="124" xfId="1" applyNumberFormat="1" applyFont="1" applyFill="1" applyBorder="1" applyAlignment="1">
      <alignment vertical="center"/>
    </xf>
    <xf numFmtId="166" fontId="5" fillId="0" borderId="124" xfId="1" quotePrefix="1" applyNumberFormat="1" applyFont="1" applyBorder="1" applyAlignment="1">
      <alignment horizontal="center" vertical="center"/>
    </xf>
    <xf numFmtId="164" fontId="5" fillId="3" borderId="124" xfId="4" applyNumberFormat="1" applyFont="1" applyFill="1" applyBorder="1" applyAlignment="1">
      <alignment horizontal="center" vertical="center"/>
    </xf>
    <xf numFmtId="15" fontId="5" fillId="3" borderId="124" xfId="4" applyNumberFormat="1" applyFont="1" applyFill="1" applyBorder="1" applyAlignment="1">
      <alignment horizontal="center" vertical="center"/>
    </xf>
    <xf numFmtId="166" fontId="5" fillId="0" borderId="124" xfId="2408" applyNumberFormat="1" applyFont="1" applyBorder="1" applyAlignment="1" applyProtection="1">
      <alignment vertical="center"/>
      <protection locked="0"/>
    </xf>
    <xf numFmtId="166" fontId="5" fillId="0" borderId="124" xfId="2408" applyNumberFormat="1" applyFont="1" applyBorder="1" applyAlignment="1">
      <alignment horizontal="right" vertical="center"/>
    </xf>
    <xf numFmtId="0" fontId="6" fillId="0" borderId="124" xfId="4" applyFont="1" applyBorder="1" applyAlignment="1">
      <alignment horizontal="center" vertical="center"/>
    </xf>
    <xf numFmtId="0" fontId="6" fillId="0" borderId="125" xfId="4" applyFont="1" applyBorder="1" applyAlignment="1">
      <alignment horizontal="center" vertical="center"/>
    </xf>
    <xf numFmtId="166" fontId="5" fillId="0" borderId="125" xfId="4" applyNumberFormat="1" applyFont="1" applyBorder="1" applyAlignment="1">
      <alignment vertical="center"/>
    </xf>
    <xf numFmtId="165" fontId="6" fillId="0" borderId="125" xfId="21" applyNumberFormat="1" applyFont="1" applyBorder="1" applyAlignment="1">
      <alignment vertical="center"/>
    </xf>
    <xf numFmtId="37" fontId="6" fillId="0" borderId="125" xfId="4" applyNumberFormat="1" applyFont="1" applyBorder="1" applyAlignment="1">
      <alignment vertical="center"/>
    </xf>
    <xf numFmtId="0" fontId="5" fillId="0" borderId="127" xfId="4" applyFont="1" applyBorder="1" applyAlignment="1">
      <alignment horizontal="centerContinuous" vertical="center"/>
    </xf>
    <xf numFmtId="166" fontId="5" fillId="0" borderId="127" xfId="1" applyNumberFormat="1" applyFont="1" applyBorder="1" applyAlignment="1">
      <alignment vertical="center"/>
    </xf>
    <xf numFmtId="166" fontId="6" fillId="0" borderId="125" xfId="4" applyNumberFormat="1" applyFont="1" applyBorder="1" applyAlignment="1">
      <alignment vertical="center"/>
    </xf>
    <xf numFmtId="166" fontId="5" fillId="0" borderId="127" xfId="4" applyNumberFormat="1" applyFont="1" applyBorder="1" applyAlignment="1">
      <alignment vertical="center"/>
    </xf>
    <xf numFmtId="168" fontId="6" fillId="0" borderId="127" xfId="4" applyNumberFormat="1" applyFont="1" applyBorder="1" applyAlignment="1">
      <alignment vertical="center"/>
    </xf>
    <xf numFmtId="0" fontId="5" fillId="0" borderId="127" xfId="4" applyFont="1" applyBorder="1" applyAlignment="1">
      <alignment vertical="center"/>
    </xf>
    <xf numFmtId="17" fontId="6" fillId="0" borderId="127" xfId="4" applyNumberFormat="1" applyFont="1" applyBorder="1" applyAlignment="1">
      <alignment horizontal="left" vertical="center"/>
    </xf>
    <xf numFmtId="3" fontId="6" fillId="0" borderId="127" xfId="4" applyNumberFormat="1" applyFont="1" applyBorder="1" applyAlignment="1">
      <alignment horizontal="centerContinuous" vertical="center"/>
    </xf>
    <xf numFmtId="3" fontId="6" fillId="0" borderId="127" xfId="4" applyNumberFormat="1" applyFont="1" applyBorder="1" applyAlignment="1">
      <alignment vertical="center"/>
    </xf>
    <xf numFmtId="166" fontId="5" fillId="0" borderId="127" xfId="2408" applyNumberFormat="1" applyFont="1" applyBorder="1" applyAlignment="1">
      <alignment horizontal="center" vertical="center"/>
    </xf>
    <xf numFmtId="3" fontId="5" fillId="0" borderId="127" xfId="4" applyNumberFormat="1" applyFont="1" applyBorder="1" applyAlignment="1">
      <alignment vertical="center"/>
    </xf>
    <xf numFmtId="165" fontId="5" fillId="0" borderId="124" xfId="2" applyNumberFormat="1" applyFont="1" applyFill="1" applyBorder="1" applyAlignment="1">
      <alignment vertical="center"/>
    </xf>
    <xf numFmtId="166" fontId="6" fillId="0" borderId="127" xfId="2408" applyNumberFormat="1" applyFont="1" applyFill="1" applyBorder="1" applyAlignment="1">
      <alignment horizontal="center" vertical="center"/>
    </xf>
    <xf numFmtId="166" fontId="6" fillId="0" borderId="127" xfId="2408" applyNumberFormat="1" applyFont="1" applyBorder="1" applyAlignment="1">
      <alignment horizontal="center" vertical="center"/>
    </xf>
    <xf numFmtId="166" fontId="6" fillId="0" borderId="124" xfId="2408" applyNumberFormat="1" applyFont="1" applyBorder="1" applyAlignment="1">
      <alignment horizontal="center" vertical="center"/>
    </xf>
    <xf numFmtId="166" fontId="5" fillId="0" borderId="125" xfId="2408" applyNumberFormat="1" applyFont="1" applyFill="1" applyBorder="1" applyAlignment="1">
      <alignment vertical="center"/>
    </xf>
    <xf numFmtId="166" fontId="5" fillId="0" borderId="127" xfId="1" applyNumberFormat="1" applyFont="1" applyBorder="1" applyAlignment="1">
      <alignment horizontal="center" vertical="center"/>
    </xf>
    <xf numFmtId="168" fontId="5" fillId="0" borderId="127" xfId="4" applyNumberFormat="1" applyFont="1" applyBorder="1" applyAlignment="1">
      <alignment vertical="center"/>
    </xf>
    <xf numFmtId="3" fontId="6" fillId="0" borderId="125" xfId="4" applyNumberFormat="1" applyFont="1" applyBorder="1" applyAlignment="1">
      <alignment vertical="center"/>
    </xf>
    <xf numFmtId="0" fontId="6" fillId="0" borderId="126" xfId="4" applyFont="1" applyBorder="1" applyAlignment="1">
      <alignment vertical="center"/>
    </xf>
    <xf numFmtId="165" fontId="6" fillId="0" borderId="127" xfId="21" applyNumberFormat="1" applyFont="1" applyFill="1" applyBorder="1" applyAlignment="1">
      <alignment vertical="center"/>
    </xf>
    <xf numFmtId="166" fontId="5" fillId="0" borderId="127" xfId="2408" applyNumberFormat="1" applyFont="1" applyFill="1" applyBorder="1" applyAlignment="1">
      <alignment horizontal="center" vertical="center"/>
    </xf>
    <xf numFmtId="0" fontId="6" fillId="0" borderId="124" xfId="4" applyFont="1" applyBorder="1" applyAlignment="1">
      <alignment vertical="center"/>
    </xf>
    <xf numFmtId="15" fontId="5" fillId="2" borderId="124" xfId="4" applyNumberFormat="1" applyFont="1" applyFill="1" applyBorder="1" applyAlignment="1">
      <alignment horizontal="center" vertical="center"/>
    </xf>
    <xf numFmtId="166" fontId="5" fillId="0" borderId="124" xfId="2408" applyNumberFormat="1" applyFont="1" applyBorder="1" applyAlignment="1" applyProtection="1">
      <alignment horizontal="right" vertical="center"/>
      <protection locked="0"/>
    </xf>
    <xf numFmtId="166" fontId="6" fillId="0" borderId="125" xfId="2408" applyNumberFormat="1" applyFont="1" applyFill="1" applyBorder="1" applyAlignment="1">
      <alignment horizontal="center" vertical="center"/>
    </xf>
    <xf numFmtId="166" fontId="5" fillId="0" borderId="125" xfId="2408" applyNumberFormat="1" applyFont="1" applyBorder="1" applyAlignment="1">
      <alignment vertical="center"/>
    </xf>
    <xf numFmtId="3" fontId="6" fillId="0" borderId="127" xfId="4" applyNumberFormat="1" applyFont="1" applyBorder="1" applyAlignment="1">
      <alignment horizontal="right" vertical="center"/>
    </xf>
    <xf numFmtId="165" fontId="5" fillId="0" borderId="127" xfId="21" applyNumberFormat="1" applyFont="1" applyFill="1" applyBorder="1" applyAlignment="1">
      <alignment horizontal="center" vertical="center"/>
    </xf>
    <xf numFmtId="41" fontId="5" fillId="0" borderId="124" xfId="0" applyNumberFormat="1" applyFont="1" applyBorder="1" applyAlignment="1">
      <alignment vertical="center"/>
    </xf>
    <xf numFmtId="0" fontId="6" fillId="0" borderId="125" xfId="3856" applyFont="1" applyBorder="1" applyAlignment="1">
      <alignment horizontal="center"/>
    </xf>
    <xf numFmtId="0" fontId="6" fillId="0" borderId="127" xfId="3856" applyFont="1" applyBorder="1" applyAlignment="1">
      <alignment horizontal="center"/>
    </xf>
    <xf numFmtId="0" fontId="6" fillId="0" borderId="124" xfId="3856" applyFont="1" applyBorder="1" applyAlignment="1">
      <alignment horizontal="center"/>
    </xf>
    <xf numFmtId="166" fontId="5" fillId="0" borderId="127" xfId="37038" applyNumberFormat="1" applyFont="1" applyFill="1" applyBorder="1" applyAlignment="1">
      <alignment vertical="center"/>
    </xf>
    <xf numFmtId="0" fontId="5" fillId="0" borderId="124" xfId="3856" applyFont="1" applyBorder="1"/>
    <xf numFmtId="0" fontId="5" fillId="0" borderId="127" xfId="3856" applyFont="1" applyBorder="1"/>
    <xf numFmtId="0" fontId="5" fillId="0" borderId="127" xfId="3856" applyFont="1" applyBorder="1" applyAlignment="1">
      <alignment horizontal="center"/>
    </xf>
    <xf numFmtId="0" fontId="6" fillId="0" borderId="127" xfId="4" applyFont="1" applyBorder="1" applyAlignment="1">
      <alignment horizontal="centerContinuous" vertical="center"/>
    </xf>
    <xf numFmtId="166" fontId="6" fillId="0" borderId="127" xfId="1" applyNumberFormat="1" applyFont="1" applyBorder="1" applyAlignment="1">
      <alignment vertical="center"/>
    </xf>
    <xf numFmtId="10" fontId="5" fillId="2" borderId="124" xfId="0" applyNumberFormat="1" applyFont="1" applyFill="1" applyBorder="1" applyAlignment="1">
      <alignment horizontal="right" vertical="center"/>
    </xf>
    <xf numFmtId="166" fontId="5" fillId="0" borderId="124" xfId="1" applyNumberFormat="1" applyFont="1" applyFill="1" applyBorder="1" applyAlignment="1" applyProtection="1">
      <alignment vertical="center"/>
      <protection locked="0"/>
    </xf>
    <xf numFmtId="166" fontId="5" fillId="2" borderId="124" xfId="1" applyNumberFormat="1" applyFont="1" applyFill="1" applyBorder="1" applyAlignment="1" applyProtection="1">
      <alignment horizontal="right" vertical="center"/>
    </xf>
    <xf numFmtId="166" fontId="5" fillId="2" borderId="124" xfId="1" applyNumberFormat="1" applyFont="1" applyFill="1" applyBorder="1" applyAlignment="1">
      <alignment vertical="center"/>
    </xf>
    <xf numFmtId="0" fontId="6" fillId="0" borderId="124" xfId="1042" applyFont="1" applyBorder="1" applyAlignment="1">
      <alignment horizontal="center"/>
    </xf>
    <xf numFmtId="0" fontId="6" fillId="0" borderId="129" xfId="1042" applyFont="1" applyBorder="1" applyAlignment="1">
      <alignment horizontal="center"/>
    </xf>
    <xf numFmtId="0" fontId="5" fillId="0" borderId="127" xfId="1042" applyFont="1" applyBorder="1"/>
    <xf numFmtId="166" fontId="5" fillId="0" borderId="129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 applyProtection="1">
      <alignment vertical="center"/>
      <protection locked="0"/>
    </xf>
    <xf numFmtId="10" fontId="5" fillId="0" borderId="1" xfId="3" applyNumberFormat="1" applyFont="1" applyBorder="1" applyAlignment="1" applyProtection="1">
      <alignment horizontal="right"/>
      <protection locked="0"/>
    </xf>
    <xf numFmtId="165" fontId="29" fillId="0" borderId="1" xfId="1962" applyNumberFormat="1" applyFont="1" applyBorder="1" applyAlignment="1">
      <alignment vertical="center"/>
    </xf>
    <xf numFmtId="165" fontId="5" fillId="0" borderId="1" xfId="21" applyNumberFormat="1" applyFont="1" applyFill="1" applyBorder="1" applyAlignment="1" applyProtection="1">
      <alignment horizontal="right" vertical="center"/>
      <protection locked="0"/>
    </xf>
    <xf numFmtId="165" fontId="5" fillId="3" borderId="1" xfId="2" applyNumberFormat="1" applyFont="1" applyFill="1" applyBorder="1" applyAlignment="1" applyProtection="1">
      <alignment vertical="center"/>
      <protection locked="0"/>
    </xf>
    <xf numFmtId="165" fontId="5" fillId="0" borderId="1" xfId="21" applyNumberFormat="1" applyFont="1" applyFill="1" applyBorder="1" applyAlignment="1" applyProtection="1">
      <alignment vertical="center"/>
      <protection locked="0"/>
    </xf>
    <xf numFmtId="165" fontId="5" fillId="0" borderId="1" xfId="2069" applyNumberFormat="1" applyFont="1" applyBorder="1" applyProtection="1">
      <protection locked="0"/>
    </xf>
    <xf numFmtId="165" fontId="5" fillId="0" borderId="1" xfId="21" applyNumberFormat="1" applyFont="1" applyBorder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5" fillId="3" borderId="1" xfId="3" applyNumberFormat="1" applyFont="1" applyFill="1" applyBorder="1" applyAlignment="1">
      <alignment vertical="center"/>
    </xf>
    <xf numFmtId="10" fontId="5" fillId="0" borderId="1" xfId="3" applyNumberFormat="1" applyFont="1" applyFill="1" applyBorder="1" applyAlignment="1">
      <alignment horizontal="right" vertical="center"/>
    </xf>
    <xf numFmtId="10" fontId="5" fillId="111" borderId="1" xfId="3" applyNumberFormat="1" applyFont="1" applyFill="1" applyBorder="1" applyAlignment="1">
      <alignment vertical="center"/>
    </xf>
    <xf numFmtId="167" fontId="5" fillId="0" borderId="1" xfId="3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5" fontId="5" fillId="0" borderId="1" xfId="21" applyNumberFormat="1" applyFont="1" applyFill="1" applyBorder="1" applyAlignment="1" applyProtection="1">
      <alignment horizontal="right" vertical="center"/>
    </xf>
    <xf numFmtId="165" fontId="5" fillId="111" borderId="1" xfId="21" applyNumberFormat="1" applyFont="1" applyFill="1" applyBorder="1" applyAlignment="1" applyProtection="1">
      <alignment horizontal="right" vertical="center"/>
    </xf>
    <xf numFmtId="165" fontId="5" fillId="3" borderId="1" xfId="21" applyNumberFormat="1" applyFont="1" applyFill="1" applyBorder="1" applyAlignment="1">
      <alignment vertical="center"/>
    </xf>
    <xf numFmtId="0" fontId="6" fillId="0" borderId="55" xfId="4" applyFont="1" applyBorder="1" applyAlignment="1">
      <alignment horizontal="center" vertical="center"/>
    </xf>
    <xf numFmtId="0" fontId="6" fillId="0" borderId="55" xfId="4" applyFont="1" applyBorder="1" applyAlignment="1">
      <alignment vertical="center"/>
    </xf>
    <xf numFmtId="165" fontId="6" fillId="0" borderId="55" xfId="2" applyNumberFormat="1" applyFont="1" applyFill="1" applyBorder="1" applyAlignment="1">
      <alignment vertical="center"/>
    </xf>
    <xf numFmtId="0" fontId="5" fillId="0" borderId="55" xfId="4" applyFont="1" applyBorder="1" applyAlignment="1">
      <alignment horizontal="center" vertical="center"/>
    </xf>
    <xf numFmtId="169" fontId="6" fillId="0" borderId="55" xfId="4" applyNumberFormat="1" applyFont="1" applyBorder="1" applyAlignment="1">
      <alignment horizontal="center" vertical="center"/>
    </xf>
    <xf numFmtId="169" fontId="5" fillId="0" borderId="55" xfId="4" applyNumberFormat="1" applyFont="1" applyBorder="1" applyAlignment="1">
      <alignment horizontal="center" vertical="center"/>
    </xf>
    <xf numFmtId="0" fontId="6" fillId="0" borderId="131" xfId="4" applyFont="1" applyBorder="1" applyAlignment="1">
      <alignment horizontal="left" vertical="center"/>
    </xf>
    <xf numFmtId="165" fontId="6" fillId="0" borderId="55" xfId="21" applyNumberFormat="1" applyFont="1" applyFill="1" applyBorder="1" applyAlignment="1">
      <alignment horizontal="center" vertical="center"/>
    </xf>
    <xf numFmtId="165" fontId="6" fillId="0" borderId="55" xfId="2" applyNumberFormat="1" applyFont="1" applyFill="1" applyBorder="1" applyAlignment="1">
      <alignment horizontal="center" vertical="center"/>
    </xf>
    <xf numFmtId="0" fontId="6" fillId="0" borderId="131" xfId="4" applyFont="1" applyBorder="1" applyAlignment="1">
      <alignment vertical="center"/>
    </xf>
    <xf numFmtId="14" fontId="6" fillId="0" borderId="55" xfId="3856" applyNumberFormat="1" applyFont="1" applyBorder="1" applyAlignment="1">
      <alignment horizontal="center"/>
    </xf>
    <xf numFmtId="0" fontId="6" fillId="0" borderId="132" xfId="1042" applyFont="1" applyBorder="1" applyAlignment="1">
      <alignment horizontal="center"/>
    </xf>
    <xf numFmtId="0" fontId="5" fillId="0" borderId="133" xfId="1042" applyFont="1" applyBorder="1" applyAlignment="1">
      <alignment horizontal="left"/>
    </xf>
    <xf numFmtId="49" fontId="6" fillId="0" borderId="132" xfId="0" applyNumberFormat="1" applyFont="1" applyBorder="1" applyAlignment="1">
      <alignment horizontal="center" vertical="center"/>
    </xf>
    <xf numFmtId="0" fontId="6" fillId="0" borderId="133" xfId="37811" quotePrefix="1" applyNumberFormat="1" applyFont="1" applyFill="1" applyBorder="1" applyAlignment="1">
      <alignment horizontal="center" vertical="center"/>
    </xf>
    <xf numFmtId="0" fontId="5" fillId="0" borderId="133" xfId="37887" quotePrefix="1" applyNumberFormat="1" applyFont="1" applyFill="1" applyBorder="1" applyAlignment="1">
      <alignment vertical="center"/>
    </xf>
    <xf numFmtId="0" fontId="29" fillId="0" borderId="8" xfId="1962" applyFont="1" applyBorder="1" applyAlignment="1">
      <alignment horizontal="center"/>
    </xf>
    <xf numFmtId="0" fontId="5" fillId="0" borderId="7" xfId="37811" quotePrefix="1" applyNumberFormat="1" applyFont="1" applyFill="1" applyBorder="1" applyAlignment="1">
      <alignment horizontal="left" vertical="center"/>
    </xf>
    <xf numFmtId="0" fontId="5" fillId="0" borderId="86" xfId="37811" quotePrefix="1" applyNumberFormat="1" applyFont="1" applyFill="1" applyBorder="1" applyAlignment="1">
      <alignment horizontal="left" vertical="center"/>
    </xf>
    <xf numFmtId="165" fontId="27" fillId="0" borderId="120" xfId="2" applyNumberFormat="1" applyFont="1" applyBorder="1" applyAlignment="1">
      <alignment horizontal="center"/>
    </xf>
    <xf numFmtId="37" fontId="6" fillId="0" borderId="6" xfId="12" applyNumberFormat="1" applyFont="1" applyBorder="1" applyAlignment="1">
      <alignment horizontal="left" vertical="center"/>
    </xf>
    <xf numFmtId="166" fontId="5" fillId="3" borderId="0" xfId="1" applyNumberFormat="1" applyFont="1" applyFill="1" applyBorder="1" applyAlignment="1">
      <alignment vertical="center"/>
    </xf>
    <xf numFmtId="165" fontId="8" fillId="0" borderId="0" xfId="4" applyNumberFormat="1" applyFont="1" applyAlignment="1">
      <alignment vertical="center"/>
    </xf>
    <xf numFmtId="166" fontId="8" fillId="0" borderId="0" xfId="1" applyNumberFormat="1" applyFont="1" applyAlignment="1">
      <alignment vertical="center"/>
    </xf>
    <xf numFmtId="165" fontId="6" fillId="0" borderId="0" xfId="4" applyNumberFormat="1" applyFont="1" applyAlignment="1">
      <alignment vertical="center"/>
    </xf>
    <xf numFmtId="166" fontId="6" fillId="0" borderId="0" xfId="0" applyNumberFormat="1" applyFont="1"/>
    <xf numFmtId="10" fontId="5" fillId="0" borderId="127" xfId="3" applyNumberFormat="1" applyFont="1" applyFill="1" applyBorder="1" applyAlignment="1">
      <alignment vertical="center"/>
    </xf>
    <xf numFmtId="43" fontId="5" fillId="0" borderId="127" xfId="1" applyFont="1" applyFill="1" applyBorder="1" applyAlignment="1">
      <alignment vertical="center"/>
    </xf>
    <xf numFmtId="172" fontId="5" fillId="0" borderId="118" xfId="2" applyNumberFormat="1" applyFont="1" applyFill="1" applyBorder="1" applyAlignment="1">
      <alignment horizontal="right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4" applyNumberFormat="1" applyFont="1" applyAlignment="1">
      <alignment horizontal="left" vertical="center"/>
    </xf>
    <xf numFmtId="165" fontId="6" fillId="0" borderId="48" xfId="48" applyNumberFormat="1" applyFont="1" applyBorder="1" applyAlignment="1">
      <alignment horizontal="right"/>
    </xf>
    <xf numFmtId="0" fontId="5" fillId="0" borderId="0" xfId="6107" applyFont="1" applyAlignment="1">
      <alignment horizontal="center" vertical="center"/>
    </xf>
    <xf numFmtId="172" fontId="5" fillId="0" borderId="0" xfId="2" applyNumberFormat="1" applyFont="1" applyAlignment="1">
      <alignment horizontal="right" vertical="center"/>
    </xf>
    <xf numFmtId="168" fontId="5" fillId="0" borderId="0" xfId="1" applyNumberFormat="1" applyFont="1" applyAlignment="1">
      <alignment horizontal="right" vertical="center"/>
    </xf>
    <xf numFmtId="168" fontId="5" fillId="0" borderId="124" xfId="1" applyNumberFormat="1" applyFont="1" applyBorder="1" applyAlignment="1">
      <alignment horizontal="right" vertical="center"/>
    </xf>
    <xf numFmtId="168" fontId="5" fillId="0" borderId="118" xfId="1" applyNumberFormat="1" applyFont="1" applyBorder="1" applyAlignment="1">
      <alignment vertical="center"/>
    </xf>
    <xf numFmtId="172" fontId="5" fillId="0" borderId="0" xfId="2" applyNumberFormat="1" applyFont="1" applyFill="1" applyAlignment="1">
      <alignment horizontal="right" vertical="center"/>
    </xf>
    <xf numFmtId="172" fontId="27" fillId="0" borderId="0" xfId="2" applyNumberFormat="1" applyFont="1" applyAlignment="1">
      <alignment vertical="center"/>
    </xf>
    <xf numFmtId="168" fontId="27" fillId="0" borderId="0" xfId="1" applyNumberFormat="1" applyFont="1" applyAlignment="1">
      <alignment vertical="center"/>
    </xf>
    <xf numFmtId="168" fontId="27" fillId="0" borderId="124" xfId="1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168" fontId="5" fillId="0" borderId="0" xfId="1" applyNumberFormat="1" applyFont="1" applyFill="1" applyAlignment="1">
      <alignment horizontal="right" vertical="center"/>
    </xf>
    <xf numFmtId="168" fontId="5" fillId="0" borderId="124" xfId="1" applyNumberFormat="1" applyFont="1" applyFill="1" applyBorder="1" applyAlignment="1">
      <alignment horizontal="right" vertical="center"/>
    </xf>
    <xf numFmtId="172" fontId="27" fillId="0" borderId="118" xfId="2" applyNumberFormat="1" applyFont="1" applyBorder="1" applyAlignment="1">
      <alignment vertical="center"/>
    </xf>
    <xf numFmtId="44" fontId="5" fillId="0" borderId="0" xfId="2" applyFont="1" applyFill="1" applyBorder="1"/>
    <xf numFmtId="0" fontId="5" fillId="0" borderId="0" xfId="1604" applyFont="1" applyAlignment="1">
      <alignment wrapText="1"/>
    </xf>
    <xf numFmtId="37" fontId="5" fillId="0" borderId="7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/>
    </xf>
    <xf numFmtId="37" fontId="5" fillId="0" borderId="7" xfId="0" applyNumberFormat="1" applyFont="1" applyBorder="1" applyAlignment="1">
      <alignment horizontal="center"/>
    </xf>
    <xf numFmtId="173" fontId="5" fillId="0" borderId="7" xfId="0" applyNumberFormat="1" applyFont="1" applyBorder="1" applyAlignment="1">
      <alignment horizontal="center" wrapText="1"/>
    </xf>
    <xf numFmtId="43" fontId="8" fillId="0" borderId="0" xfId="0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vertical="center"/>
    </xf>
    <xf numFmtId="165" fontId="5" fillId="0" borderId="86" xfId="0" applyNumberFormat="1" applyFont="1" applyBorder="1" applyAlignment="1">
      <alignment horizontal="center" vertical="center"/>
    </xf>
    <xf numFmtId="217" fontId="5" fillId="0" borderId="0" xfId="38096" applyNumberFormat="1" applyFont="1" applyAlignment="1">
      <alignment vertical="center"/>
    </xf>
    <xf numFmtId="3" fontId="5" fillId="0" borderId="0" xfId="4" applyNumberFormat="1" applyFont="1" applyAlignment="1">
      <alignment horizontal="centerContinuous" vertical="center"/>
    </xf>
    <xf numFmtId="3" fontId="5" fillId="0" borderId="4" xfId="4" applyNumberFormat="1" applyFont="1" applyBorder="1" applyAlignment="1">
      <alignment horizontal="centerContinuous" vertical="center"/>
    </xf>
    <xf numFmtId="3" fontId="5" fillId="0" borderId="4" xfId="4" applyNumberFormat="1" applyFont="1" applyBorder="1" applyAlignment="1">
      <alignment vertical="center"/>
    </xf>
    <xf numFmtId="38" fontId="5" fillId="0" borderId="134" xfId="1" applyNumberFormat="1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3" fontId="5" fillId="0" borderId="5" xfId="4" applyNumberFormat="1" applyFont="1" applyBorder="1" applyAlignment="1">
      <alignment horizontal="centerContinuous" vertical="center"/>
    </xf>
    <xf numFmtId="165" fontId="5" fillId="0" borderId="5" xfId="2" applyNumberFormat="1" applyFont="1" applyFill="1" applyBorder="1" applyAlignment="1">
      <alignment horizontal="center" vertical="center"/>
    </xf>
    <xf numFmtId="10" fontId="5" fillId="0" borderId="5" xfId="3" applyNumberFormat="1" applyFont="1" applyFill="1" applyBorder="1" applyAlignment="1">
      <alignment horizontal="center" vertical="center"/>
    </xf>
    <xf numFmtId="43" fontId="5" fillId="0" borderId="0" xfId="0" applyNumberFormat="1" applyFont="1"/>
    <xf numFmtId="165" fontId="5" fillId="0" borderId="86" xfId="2" applyNumberFormat="1" applyFont="1" applyBorder="1" applyAlignment="1">
      <alignment horizontal="center" vertical="center"/>
    </xf>
    <xf numFmtId="165" fontId="27" fillId="0" borderId="86" xfId="2" quotePrefix="1" applyNumberFormat="1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37" fontId="5" fillId="0" borderId="124" xfId="0" applyNumberFormat="1" applyFont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center" vertical="center"/>
    </xf>
    <xf numFmtId="166" fontId="5" fillId="0" borderId="124" xfId="1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0" fontId="168" fillId="0" borderId="0" xfId="0" applyFont="1" applyAlignment="1">
      <alignment horizontal="center"/>
    </xf>
    <xf numFmtId="3" fontId="157" fillId="0" borderId="4" xfId="4" applyNumberFormat="1" applyFont="1" applyBorder="1" applyAlignment="1">
      <alignment horizontal="centerContinuous" vertical="center"/>
    </xf>
    <xf numFmtId="3" fontId="5" fillId="0" borderId="125" xfId="4" applyNumberFormat="1" applyFont="1" applyBorder="1" applyAlignment="1">
      <alignment horizontal="centerContinuous" vertical="center"/>
    </xf>
    <xf numFmtId="0" fontId="5" fillId="0" borderId="121" xfId="4" applyFont="1" applyBorder="1" applyAlignment="1">
      <alignment vertical="center"/>
    </xf>
    <xf numFmtId="3" fontId="5" fillId="0" borderId="125" xfId="4" applyNumberFormat="1" applyFont="1" applyBorder="1" applyAlignment="1">
      <alignment vertical="center"/>
    </xf>
    <xf numFmtId="37" fontId="5" fillId="0" borderId="4" xfId="4" applyNumberFormat="1" applyFont="1" applyBorder="1" applyAlignment="1">
      <alignment vertical="center"/>
    </xf>
    <xf numFmtId="166" fontId="6" fillId="0" borderId="120" xfId="4" applyNumberFormat="1" applyFont="1" applyBorder="1" applyAlignment="1">
      <alignment vertical="center"/>
    </xf>
    <xf numFmtId="37" fontId="6" fillId="0" borderId="127" xfId="4" applyNumberFormat="1" applyFont="1" applyBorder="1" applyAlignment="1">
      <alignment vertical="center"/>
    </xf>
    <xf numFmtId="37" fontId="6" fillId="0" borderId="86" xfId="4" applyNumberFormat="1" applyFont="1" applyBorder="1" applyAlignment="1">
      <alignment vertical="center"/>
    </xf>
    <xf numFmtId="166" fontId="5" fillId="0" borderId="86" xfId="2408" applyNumberFormat="1" applyFont="1" applyFill="1" applyBorder="1" applyAlignment="1">
      <alignment horizontal="center" vertical="center"/>
    </xf>
    <xf numFmtId="0" fontId="6" fillId="0" borderId="0" xfId="0" applyFont="1"/>
    <xf numFmtId="49" fontId="5" fillId="0" borderId="109" xfId="0" applyNumberFormat="1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169" fillId="0" borderId="0" xfId="4" applyFont="1" applyAlignment="1">
      <alignment horizontal="center" vertical="center"/>
    </xf>
    <xf numFmtId="170" fontId="5" fillId="0" borderId="0" xfId="0" applyNumberFormat="1" applyFont="1"/>
    <xf numFmtId="166" fontId="5" fillId="0" borderId="124" xfId="1" applyNumberFormat="1" applyFont="1" applyFill="1" applyBorder="1"/>
    <xf numFmtId="0" fontId="27" fillId="0" borderId="7" xfId="0" applyFont="1" applyBorder="1" applyAlignment="1">
      <alignment horizontal="left"/>
    </xf>
    <xf numFmtId="166" fontId="5" fillId="0" borderId="134" xfId="4" applyNumberFormat="1" applyFont="1" applyBorder="1"/>
    <xf numFmtId="0" fontId="6" fillId="3" borderId="0" xfId="4" applyFont="1" applyFill="1" applyAlignment="1">
      <alignment horizontal="center"/>
    </xf>
    <xf numFmtId="0" fontId="6" fillId="0" borderId="0" xfId="4" applyFont="1" applyAlignment="1">
      <alignment horizontal="center"/>
    </xf>
    <xf numFmtId="6" fontId="6" fillId="0" borderId="0" xfId="4" quotePrefix="1" applyNumberFormat="1" applyFont="1" applyAlignment="1">
      <alignment horizontal="center"/>
    </xf>
    <xf numFmtId="0" fontId="6" fillId="0" borderId="0" xfId="1965" applyFont="1" applyAlignment="1">
      <alignment horizontal="center" wrapText="1"/>
    </xf>
    <xf numFmtId="0" fontId="6" fillId="0" borderId="0" xfId="1965" applyFont="1" applyAlignment="1">
      <alignment horizontal="center"/>
    </xf>
    <xf numFmtId="0" fontId="6" fillId="3" borderId="0" xfId="1965" applyFont="1" applyFill="1" applyAlignment="1">
      <alignment horizontal="center"/>
    </xf>
    <xf numFmtId="0" fontId="6" fillId="0" borderId="0" xfId="1965" quotePrefix="1" applyFont="1" applyAlignment="1">
      <alignment horizontal="center"/>
    </xf>
    <xf numFmtId="0" fontId="6" fillId="0" borderId="0" xfId="2012" applyFont="1" applyAlignment="1">
      <alignment horizontal="center"/>
    </xf>
    <xf numFmtId="2" fontId="6" fillId="2" borderId="0" xfId="2012" applyNumberFormat="1" applyFont="1" applyFill="1" applyAlignment="1">
      <alignment horizontal="center"/>
    </xf>
    <xf numFmtId="49" fontId="6" fillId="0" borderId="0" xfId="4" applyNumberFormat="1" applyFont="1" applyAlignment="1">
      <alignment horizontal="center"/>
    </xf>
    <xf numFmtId="0" fontId="6" fillId="0" borderId="0" xfId="2012" applyFont="1" applyAlignment="1" applyProtection="1">
      <alignment horizontal="center"/>
      <protection locked="0"/>
    </xf>
    <xf numFmtId="2" fontId="6" fillId="2" borderId="0" xfId="1965" applyNumberFormat="1" applyFont="1" applyFill="1" applyAlignment="1">
      <alignment horizontal="center"/>
    </xf>
    <xf numFmtId="0" fontId="6" fillId="0" borderId="0" xfId="0" quotePrefix="1" applyFont="1" applyAlignment="1">
      <alignment horizontal="center" vertical="center"/>
    </xf>
    <xf numFmtId="0" fontId="6" fillId="3" borderId="0" xfId="1604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6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3856" applyFont="1" applyAlignment="1">
      <alignment horizontal="center"/>
    </xf>
    <xf numFmtId="0" fontId="6" fillId="0" borderId="0" xfId="4" quotePrefix="1" applyFont="1" applyAlignment="1">
      <alignment horizontal="center" vertical="justify"/>
    </xf>
    <xf numFmtId="37" fontId="6" fillId="0" borderId="0" xfId="1604" applyNumberFormat="1" applyFont="1" applyAlignment="1">
      <alignment horizontal="center"/>
    </xf>
    <xf numFmtId="0" fontId="6" fillId="0" borderId="0" xfId="4" quotePrefix="1" applyFont="1" applyAlignment="1">
      <alignment horizontal="center"/>
    </xf>
    <xf numFmtId="37" fontId="6" fillId="0" borderId="0" xfId="0" applyNumberFormat="1" applyFont="1" applyAlignment="1">
      <alignment horizontal="center" vertical="center"/>
    </xf>
    <xf numFmtId="37" fontId="6" fillId="0" borderId="0" xfId="0" quotePrefix="1" applyNumberFormat="1" applyFont="1" applyAlignment="1">
      <alignment horizontal="center" vertical="center"/>
    </xf>
    <xf numFmtId="5" fontId="6" fillId="0" borderId="0" xfId="4" quotePrefix="1" applyNumberFormat="1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0" xfId="4" quotePrefix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justify"/>
    </xf>
    <xf numFmtId="0" fontId="6" fillId="0" borderId="0" xfId="0" applyFont="1" applyAlignment="1">
      <alignment horizontal="center" vertical="justify"/>
    </xf>
    <xf numFmtId="5" fontId="6" fillId="0" borderId="0" xfId="0" applyNumberFormat="1" applyFont="1" applyAlignment="1">
      <alignment horizontal="center" vertical="center"/>
    </xf>
    <xf numFmtId="0" fontId="6" fillId="0" borderId="0" xfId="4" applyFont="1"/>
    <xf numFmtId="0" fontId="6" fillId="2" borderId="0" xfId="4" applyFont="1" applyFill="1" applyAlignment="1">
      <alignment horizontal="center"/>
    </xf>
    <xf numFmtId="0" fontId="6" fillId="2" borderId="0" xfId="4" applyFont="1" applyFill="1"/>
    <xf numFmtId="0" fontId="5" fillId="0" borderId="0" xfId="0" applyFont="1" applyAlignment="1">
      <alignment vertical="center"/>
    </xf>
  </cellXfs>
  <cellStyles count="38103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3" xfId="13749" xr:uid="{00000000-0005-0000-0000-000090000000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2" xfId="4880" xr:uid="{00000000-0005-0000-0000-00000A050000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2" xfId="1436" xr:uid="{00000000-0005-0000-0000-000025050000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2" xfId="2399" xr:uid="{00000000-0005-0000-0000-00004C050000}"/>
    <cellStyle name="Calculation 3 2 2" xfId="7604" xr:uid="{00000000-0005-0000-0000-00004D050000}"/>
    <cellStyle name="Calculation 3 2 2 2" xfId="23746" xr:uid="{00000000-0005-0000-0000-00004E050000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heck Cell 2" xfId="451" xr:uid="{00000000-0005-0000-0000-000079050000}"/>
    <cellStyle name="Check Cell 2 2" xfId="1438" xr:uid="{00000000-0005-0000-0000-00007A050000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" xfId="38096" builtinId="6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53" xfId="38101" xr:uid="{00000000-0005-0000-0000-0000FE940000}"/>
    <cellStyle name="Comma 16" xfId="1452" xr:uid="{00000000-0005-0000-0000-0000ED050000}"/>
    <cellStyle name="Comma 164" xfId="38097" xr:uid="{7AB220A9-AC52-49D8-99B2-8E0F9AC44F2C}"/>
    <cellStyle name="Comma 165" xfId="38098" xr:uid="{E07A24B8-7FFD-4AF8-BC5B-CB73E4B5710D}"/>
    <cellStyle name="Comma 166" xfId="38099" xr:uid="{490B61AB-10B0-4BC5-9715-B60675D32BE6}"/>
    <cellStyle name="Comma 17" xfId="1453" xr:uid="{00000000-0005-0000-0000-0000EE050000}"/>
    <cellStyle name="Comma 18" xfId="1454" xr:uid="{00000000-0005-0000-0000-0000EF050000}"/>
    <cellStyle name="Comma 19" xfId="1455" xr:uid="{00000000-0005-0000-0000-0000F005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1" xfId="1478" xr:uid="{00000000-0005-0000-0000-0000330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5" xfId="43" xr:uid="{00000000-0005-0000-0000-000049060000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01" xfId="38102" xr:uid="{00000000-0005-0000-0000-0000FF940000}"/>
    <cellStyle name="Currency 11" xfId="1959" xr:uid="{00000000-0005-0000-0000-0000EA060000}"/>
    <cellStyle name="Currency 12" xfId="23" xr:uid="{00000000-0005-0000-0000-0000EB060000}"/>
    <cellStyle name="Currency 13" xfId="2023" xr:uid="{00000000-0005-0000-0000-0000EC0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2" xfId="2462" xr:uid="{00000000-0005-0000-0000-00007B070000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3" xfId="6130" xr:uid="{00000000-0005-0000-0000-0000CF070000}"/>
    <cellStyle name="Heading 3 3 3" xfId="4091" xr:uid="{00000000-0005-0000-0000-0000D0070000}"/>
    <cellStyle name="Heading 3 3 3 2" xfId="17388" xr:uid="{00000000-0005-0000-0000-0000D1070000}"/>
    <cellStyle name="Heading 3 3 4" xfId="13758" xr:uid="{00000000-0005-0000-0000-0000D2070000}"/>
    <cellStyle name="Heading 3 3 5" xfId="14180" xr:uid="{00000000-0005-0000-0000-0000D3070000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2" xfId="1558" xr:uid="{00000000-0005-0000-0000-000005080000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2" xfId="2531" xr:uid="{00000000-0005-0000-0000-00002C080000}"/>
    <cellStyle name="Input 3 2 2" xfId="7734" xr:uid="{00000000-0005-0000-0000-00002D080000}"/>
    <cellStyle name="Input 3 2 2 2" xfId="23806" xr:uid="{00000000-0005-0000-0000-00002E080000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7" xfId="3841" xr:uid="{00000000-0005-0000-0000-0000BC080000}"/>
    <cellStyle name="Normal 101" xfId="2569" xr:uid="{00000000-0005-0000-0000-0000BD08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2" xfId="19" xr:uid="{00000000-0005-0000-0000-0000CD080000}"/>
    <cellStyle name="Normal 12 2" xfId="1042" xr:uid="{00000000-0005-0000-0000-0000CE080000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8" xfId="1958" xr:uid="{00000000-0005-0000-0000-000087090000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4" xfId="59" xr:uid="{00000000-0005-0000-0000-0000100A0000}"/>
    <cellStyle name="Normal 6 4 2" xfId="5222" xr:uid="{00000000-0005-0000-0000-0000110A0000}"/>
    <cellStyle name="Normal 6 5" xfId="5186" xr:uid="{00000000-0005-0000-0000-0000120A0000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3" xfId="519" xr:uid="{00000000-0005-0000-0000-00002A0A0000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75" xfId="38100" xr:uid="{00000000-0005-0000-0000-00000095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2" xfId="527" xr:uid="{00000000-0005-0000-0000-0000AD0A0000}"/>
    <cellStyle name="Note 3 2 2" xfId="5699" xr:uid="{00000000-0005-0000-0000-0000AE0A0000}"/>
    <cellStyle name="Note 3 2 2 2" xfId="37233" xr:uid="{00000000-0005-0000-0000-0000AF0A0000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3" xfId="2611" xr:uid="{00000000-0005-0000-0000-0000B60A0000}"/>
    <cellStyle name="Note 3 3 2" xfId="7804" xr:uid="{00000000-0005-0000-0000-0000B70A0000}"/>
    <cellStyle name="Note 3 3 2 2" xfId="23841" xr:uid="{00000000-0005-0000-0000-0000B80A0000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2" xfId="529" xr:uid="{00000000-0005-0000-0000-0000DA0A0000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2" xfId="1735" xr:uid="{00000000-0005-0000-0000-0000160B0000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2" xfId="2613" xr:uid="{00000000-0005-0000-0000-00003E0B0000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3" xfId="4209" xr:uid="{00000000-0005-0000-0000-00004C0B0000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1" xfId="5174" xr:uid="{00000000-0005-0000-0000-0000720B0000}"/>
    <cellStyle name="Percent 12" xfId="6058" xr:uid="{00000000-0005-0000-0000-0000730B0000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5" xfId="64" xr:uid="{00000000-0005-0000-0000-0000DC0B0000}"/>
    <cellStyle name="Percent 5 2" xfId="1041" xr:uid="{00000000-0005-0000-0000-0000DD0B0000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5" xfId="5688" xr:uid="{00000000-0005-0000-0000-00001A0C0000}"/>
    <cellStyle name="PSHeading 5 2" xfId="37167" xr:uid="{00000000-0005-0000-0000-00001B0C0000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2" xfId="2654" xr:uid="{00000000-0005-0000-0000-00002B0C000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2" xfId="2655" xr:uid="{00000000-0005-0000-0000-0000540C0000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2" xfId="2656" xr:uid="{00000000-0005-0000-0000-0000780C0000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2" xfId="4861" xr:uid="{00000000-0005-0000-0000-00009B0C0000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4" xfId="2658" xr:uid="{00000000-0005-0000-0000-0000B20C0000}"/>
    <cellStyle name="SAPBEXaggData 14 2" xfId="4860" xr:uid="{00000000-0005-0000-0000-0000B30C0000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5" xfId="2659" xr:uid="{00000000-0005-0000-0000-0000CA0C0000}"/>
    <cellStyle name="SAPBEXaggData 15 2" xfId="4859" xr:uid="{00000000-0005-0000-0000-0000CB0C0000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6" xfId="2660" xr:uid="{00000000-0005-0000-0000-0000E20C0000}"/>
    <cellStyle name="SAPBEXaggData 16 2" xfId="4858" xr:uid="{00000000-0005-0000-0000-0000E30C0000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7" xfId="2661" xr:uid="{00000000-0005-0000-0000-0000FA0C0000}"/>
    <cellStyle name="SAPBEXaggData 17 2" xfId="4857" xr:uid="{00000000-0005-0000-0000-0000FB0C000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8" xfId="4914" xr:uid="{00000000-0005-0000-0000-0000120D0000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9" xfId="6017" xr:uid="{00000000-0005-0000-0000-00001F0D0000}"/>
    <cellStyle name="SAPBEXaggData 19 2" xfId="22982" xr:uid="{00000000-0005-0000-0000-0000200D0000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2" xfId="2663" xr:uid="{00000000-0005-0000-0000-00002A0D0000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3" xfId="4855" xr:uid="{00000000-0005-0000-0000-0000380D0000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2" xfId="551" xr:uid="{00000000-0005-0000-0000-0000910D0000}"/>
    <cellStyle name="SAPBEXaggData 3 2 2 2" xfId="5223" xr:uid="{00000000-0005-0000-0000-0000920D0000}"/>
    <cellStyle name="SAPBEXaggData 3 2 2 2 2" xfId="37816" xr:uid="{00000000-0005-0000-0000-0000930D0000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3" xfId="2665" xr:uid="{00000000-0005-0000-0000-00009A0D0000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2" xfId="5682" xr:uid="{00000000-0005-0000-0000-0000BC0D0000}"/>
    <cellStyle name="SAPBEXaggData 3 3 2 2" xfId="37815" xr:uid="{00000000-0005-0000-0000-0000BD0D000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4" xfId="2664" xr:uid="{00000000-0005-0000-0000-0000C40D0000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2" xfId="2666" xr:uid="{00000000-0005-0000-0000-0000E50D0000}"/>
    <cellStyle name="SAPBEXaggData 4 2 2" xfId="4851" xr:uid="{00000000-0005-0000-0000-0000E60D0000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3" xfId="4852" xr:uid="{00000000-0005-0000-0000-0000FD0D0000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2" xfId="555" xr:uid="{00000000-0005-0000-0000-0000170E0000}"/>
    <cellStyle name="SAPBEXaggData 5 2 10" xfId="22285" xr:uid="{00000000-0005-0000-0000-0000180E0000}"/>
    <cellStyle name="SAPBEXaggData 5 2 2" xfId="2668" xr:uid="{00000000-0005-0000-0000-0000190E0000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2" xfId="7843" xr:uid="{00000000-0005-0000-0000-00003C0E0000}"/>
    <cellStyle name="SAPBEXaggData 5 3 2 2" xfId="23874" xr:uid="{00000000-0005-0000-0000-00003D0E0000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4" xfId="4850" xr:uid="{00000000-0005-0000-0000-0000490E0000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2" xfId="2670" xr:uid="{00000000-0005-0000-0000-0000610E0000}"/>
    <cellStyle name="SAPBEXaggData 6 2 2" xfId="4847" xr:uid="{00000000-0005-0000-0000-0000620E0000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3" xfId="2669" xr:uid="{00000000-0005-0000-0000-0000790E0000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4" xfId="4848" xr:uid="{00000000-0005-0000-0000-0000870E0000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2" xfId="558" xr:uid="{00000000-0005-0000-0000-0000A10E0000}"/>
    <cellStyle name="SAPBEXaggData 7 2 10" xfId="22287" xr:uid="{00000000-0005-0000-0000-0000A20E0000}"/>
    <cellStyle name="SAPBEXaggData 7 2 2" xfId="2672" xr:uid="{00000000-0005-0000-0000-0000A30E0000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2" xfId="7847" xr:uid="{00000000-0005-0000-0000-0000C60E0000}"/>
    <cellStyle name="SAPBEXaggData 7 3 2 2" xfId="23878" xr:uid="{00000000-0005-0000-0000-0000C70E0000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4" xfId="4846" xr:uid="{00000000-0005-0000-0000-0000D30E0000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2" xfId="560" xr:uid="{00000000-0005-0000-0000-0000E90E0000}"/>
    <cellStyle name="SAPBEXaggData 8 2 2" xfId="5676" xr:uid="{00000000-0005-0000-0000-0000EA0E0000}"/>
    <cellStyle name="SAPBEXaggData 8 2 2 2" xfId="37224" xr:uid="{00000000-0005-0000-0000-0000EB0E0000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3" xfId="2673" xr:uid="{00000000-0005-0000-0000-0000F20E0000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2" xfId="562" xr:uid="{00000000-0005-0000-0000-0000160F0000}"/>
    <cellStyle name="SAPBEXaggData 9 2 2" xfId="5674" xr:uid="{00000000-0005-0000-0000-0000170F0000}"/>
    <cellStyle name="SAPBEXaggData 9 2 2 2" xfId="37222" xr:uid="{00000000-0005-0000-0000-0000180F0000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3" xfId="2674" xr:uid="{00000000-0005-0000-0000-00001F0F000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2" xfId="4842" xr:uid="{00000000-0005-0000-0000-0000430F0000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1" xfId="2677" xr:uid="{00000000-0005-0000-0000-00005A0F0000}"/>
    <cellStyle name="SAPBEXaggDataEmph 11 2" xfId="4841" xr:uid="{00000000-0005-0000-0000-00005B0F0000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2" xfId="2678" xr:uid="{00000000-0005-0000-0000-0000720F0000}"/>
    <cellStyle name="SAPBEXaggDataEmph 12 2" xfId="4840" xr:uid="{00000000-0005-0000-0000-0000730F0000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3" xfId="2679" xr:uid="{00000000-0005-0000-0000-00008A0F0000}"/>
    <cellStyle name="SAPBEXaggDataEmph 13 2" xfId="4839" xr:uid="{00000000-0005-0000-0000-00008B0F0000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4" xfId="2680" xr:uid="{00000000-0005-0000-0000-0000A20F0000}"/>
    <cellStyle name="SAPBEXaggDataEmph 14 2" xfId="4838" xr:uid="{00000000-0005-0000-0000-0000A30F0000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5" xfId="2681" xr:uid="{00000000-0005-0000-0000-0000BA0F0000}"/>
    <cellStyle name="SAPBEXaggDataEmph 15 2" xfId="4837" xr:uid="{00000000-0005-0000-0000-0000BB0F0000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6" xfId="2682" xr:uid="{00000000-0005-0000-0000-0000D20F0000}"/>
    <cellStyle name="SAPBEXaggDataEmph 16 2" xfId="4836" xr:uid="{00000000-0005-0000-0000-0000D30F0000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7" xfId="2683" xr:uid="{00000000-0005-0000-0000-0000EA0F0000}"/>
    <cellStyle name="SAPBEXaggDataEmph 17 2" xfId="4835" xr:uid="{00000000-0005-0000-0000-0000EB0F0000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8" xfId="4913" xr:uid="{00000000-0005-0000-0000-000002100000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2" xfId="2685" xr:uid="{00000000-0005-0000-0000-000018100000}"/>
    <cellStyle name="SAPBEXaggDataEmph 2 2 2" xfId="4833" xr:uid="{00000000-0005-0000-0000-000019100000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3" xfId="2684" xr:uid="{00000000-0005-0000-0000-000031100000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4" xfId="4834" xr:uid="{00000000-0005-0000-0000-00003F100000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3" xfId="564" xr:uid="{00000000-0005-0000-0000-00005E100000}"/>
    <cellStyle name="SAPBEXaggDataEmph 3 10" xfId="22292" xr:uid="{00000000-0005-0000-0000-00005F100000}"/>
    <cellStyle name="SAPBEXaggDataEmph 3 2" xfId="1983" xr:uid="{00000000-0005-0000-0000-000060100000}"/>
    <cellStyle name="SAPBEXaggDataEmph 3 2 2" xfId="4831" xr:uid="{00000000-0005-0000-0000-000061100000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3" xfId="4832" xr:uid="{00000000-0005-0000-0000-000078100000}"/>
    <cellStyle name="SAPBEXaggDataEmph 3 3 2" xfId="9987" xr:uid="{00000000-0005-0000-0000-000079100000}"/>
    <cellStyle name="SAPBEXaggDataEmph 3 3 2 2" xfId="25978" xr:uid="{00000000-0005-0000-0000-00007A100000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4" xfId="5672" xr:uid="{00000000-0005-0000-0000-000085100000}"/>
    <cellStyle name="SAPBEXaggDataEmph 3 4 2" xfId="37180" xr:uid="{00000000-0005-0000-0000-000086100000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2" xfId="2688" xr:uid="{00000000-0005-0000-0000-000091100000}"/>
    <cellStyle name="SAPBEXaggDataEmph 4 2 2" xfId="4829" xr:uid="{00000000-0005-0000-0000-000092100000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3" xfId="2687" xr:uid="{00000000-0005-0000-0000-0000A9100000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2" xfId="2690" xr:uid="{00000000-0005-0000-0000-0000CF100000}"/>
    <cellStyle name="SAPBEXaggDataEmph 5 2 2" xfId="4827" xr:uid="{00000000-0005-0000-0000-0000D0100000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3" xfId="4828" xr:uid="{00000000-0005-0000-0000-0000E7100000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6" xfId="2691" xr:uid="{00000000-0005-0000-0000-0000FE100000}"/>
    <cellStyle name="SAPBEXaggDataEmph 6 2" xfId="2692" xr:uid="{00000000-0005-0000-0000-0000FF100000}"/>
    <cellStyle name="SAPBEXaggDataEmph 6 2 2" xfId="4825" xr:uid="{00000000-0005-0000-0000-000000110000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3" xfId="4826" xr:uid="{00000000-0005-0000-0000-000017110000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7" xfId="2693" xr:uid="{00000000-0005-0000-0000-00002E110000}"/>
    <cellStyle name="SAPBEXaggDataEmph 7 2" xfId="2694" xr:uid="{00000000-0005-0000-0000-00002F110000}"/>
    <cellStyle name="SAPBEXaggDataEmph 7 2 2" xfId="4823" xr:uid="{00000000-0005-0000-0000-000030110000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3" xfId="4824" xr:uid="{00000000-0005-0000-0000-000047110000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8" xfId="2695" xr:uid="{00000000-0005-0000-0000-00005E110000}"/>
    <cellStyle name="SAPBEXaggDataEmph 8 2" xfId="4822" xr:uid="{00000000-0005-0000-0000-00005F110000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9" xfId="2696" xr:uid="{00000000-0005-0000-0000-000076110000}"/>
    <cellStyle name="SAPBEXaggDataEmph 9 2" xfId="4821" xr:uid="{00000000-0005-0000-0000-000077110000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2" xfId="2697" xr:uid="{00000000-0005-0000-0000-000092110000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2" xfId="2698" xr:uid="{00000000-0005-0000-0000-0000BB11000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2" xfId="2699" xr:uid="{00000000-0005-0000-0000-0000DF110000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2" xfId="4817" xr:uid="{00000000-0005-0000-0000-000002120000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4" xfId="2701" xr:uid="{00000000-0005-0000-0000-000019120000}"/>
    <cellStyle name="SAPBEXaggItem 14 2" xfId="4816" xr:uid="{00000000-0005-0000-0000-00001A120000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5" xfId="2702" xr:uid="{00000000-0005-0000-0000-000031120000}"/>
    <cellStyle name="SAPBEXaggItem 15 2" xfId="4815" xr:uid="{00000000-0005-0000-0000-000032120000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6" xfId="2703" xr:uid="{00000000-0005-0000-0000-000049120000}"/>
    <cellStyle name="SAPBEXaggItem 16 2" xfId="4814" xr:uid="{00000000-0005-0000-0000-00004A120000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7" xfId="4912" xr:uid="{00000000-0005-0000-0000-000061120000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8" xfId="6016" xr:uid="{00000000-0005-0000-0000-00006E120000}"/>
    <cellStyle name="SAPBEXaggItem 18 2" xfId="22981" xr:uid="{00000000-0005-0000-0000-00006F120000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2" xfId="570" xr:uid="{00000000-0005-0000-0000-00007A120000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3" xfId="2705" xr:uid="{00000000-0005-0000-0000-000083120000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2" xfId="2707" xr:uid="{00000000-0005-0000-0000-0000DF120000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3" xfId="4810" xr:uid="{00000000-0005-0000-0000-0000ED120000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4" xfId="4811" xr:uid="{00000000-0005-0000-0000-000014130000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2" xfId="2708" xr:uid="{00000000-0005-0000-0000-00002C130000}"/>
    <cellStyle name="SAPBEXaggItem 4 2 2" xfId="4808" xr:uid="{00000000-0005-0000-0000-00002D130000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3" xfId="4809" xr:uid="{00000000-0005-0000-0000-000044130000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2" xfId="576" xr:uid="{00000000-0005-0000-0000-00005E130000}"/>
    <cellStyle name="SAPBEXaggItem 5 2 10" xfId="22298" xr:uid="{00000000-0005-0000-0000-00005F130000}"/>
    <cellStyle name="SAPBEXaggItem 5 2 2" xfId="2710" xr:uid="{00000000-0005-0000-0000-000060130000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2" xfId="7884" xr:uid="{00000000-0005-0000-0000-000083130000}"/>
    <cellStyle name="SAPBEXaggItem 5 3 2 2" xfId="23915" xr:uid="{00000000-0005-0000-0000-000084130000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4" xfId="4807" xr:uid="{00000000-0005-0000-0000-00009013000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2" xfId="2712" xr:uid="{00000000-0005-0000-0000-0000A8130000}"/>
    <cellStyle name="SAPBEXaggItem 6 2 2" xfId="4804" xr:uid="{00000000-0005-0000-0000-0000A9130000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3" xfId="2711" xr:uid="{00000000-0005-0000-0000-0000C0130000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4" xfId="4805" xr:uid="{00000000-0005-0000-0000-0000CE130000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2" xfId="579" xr:uid="{00000000-0005-0000-0000-0000E8130000}"/>
    <cellStyle name="SAPBEXaggItem 7 2 10" xfId="22300" xr:uid="{00000000-0005-0000-0000-0000E9130000}"/>
    <cellStyle name="SAPBEXaggItem 7 2 2" xfId="2714" xr:uid="{00000000-0005-0000-0000-0000EA130000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2" xfId="7888" xr:uid="{00000000-0005-0000-0000-00000D140000}"/>
    <cellStyle name="SAPBEXaggItem 7 3 2 2" xfId="23919" xr:uid="{00000000-0005-0000-0000-00000E140000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4" xfId="4803" xr:uid="{00000000-0005-0000-0000-00001A140000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2" xfId="581" xr:uid="{00000000-0005-0000-0000-000030140000}"/>
    <cellStyle name="SAPBEXaggItem 8 2 2" xfId="5185" xr:uid="{00000000-0005-0000-0000-000031140000}"/>
    <cellStyle name="SAPBEXaggItem 8 2 2 2" xfId="37213" xr:uid="{00000000-0005-0000-0000-000032140000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3" xfId="2715" xr:uid="{00000000-0005-0000-0000-000039140000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2" xfId="583" xr:uid="{00000000-0005-0000-0000-00005D140000}"/>
    <cellStyle name="SAPBEXaggItem 9 2 2" xfId="5655" xr:uid="{00000000-0005-0000-0000-00005E140000}"/>
    <cellStyle name="SAPBEXaggItem 9 2 2 2" xfId="37211" xr:uid="{00000000-0005-0000-0000-00005F140000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3" xfId="2716" xr:uid="{00000000-0005-0000-0000-000066140000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2" xfId="4799" xr:uid="{00000000-0005-0000-0000-00008A140000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1" xfId="2719" xr:uid="{00000000-0005-0000-0000-0000A1140000}"/>
    <cellStyle name="SAPBEXaggItemX 11 2" xfId="4798" xr:uid="{00000000-0005-0000-0000-0000A2140000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2" xfId="2720" xr:uid="{00000000-0005-0000-0000-0000B9140000}"/>
    <cellStyle name="SAPBEXaggItemX 12 2" xfId="4797" xr:uid="{00000000-0005-0000-0000-0000BA140000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3" xfId="2721" xr:uid="{00000000-0005-0000-0000-0000D1140000}"/>
    <cellStyle name="SAPBEXaggItemX 13 2" xfId="4796" xr:uid="{00000000-0005-0000-0000-0000D2140000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4" xfId="2722" xr:uid="{00000000-0005-0000-0000-0000E9140000}"/>
    <cellStyle name="SAPBEXaggItemX 14 2" xfId="4795" xr:uid="{00000000-0005-0000-0000-0000EA140000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5" xfId="2723" xr:uid="{00000000-0005-0000-0000-000001150000}"/>
    <cellStyle name="SAPBEXaggItemX 15 2" xfId="4794" xr:uid="{00000000-0005-0000-0000-00000215000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6" xfId="2724" xr:uid="{00000000-0005-0000-0000-000019150000}"/>
    <cellStyle name="SAPBEXaggItemX 16 2" xfId="4793" xr:uid="{00000000-0005-0000-0000-00001A150000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7" xfId="4911" xr:uid="{00000000-0005-0000-0000-000031150000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2" xfId="2726" xr:uid="{00000000-0005-0000-0000-00004B150000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3" xfId="4791" xr:uid="{00000000-0005-0000-0000-000059150000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3" xfId="586" xr:uid="{00000000-0005-0000-0000-00009E150000}"/>
    <cellStyle name="SAPBEXaggItemX 3 10" xfId="4988" xr:uid="{00000000-0005-0000-0000-00009F150000}"/>
    <cellStyle name="SAPBEXaggItemX 3 2" xfId="1974" xr:uid="{00000000-0005-0000-0000-0000A0150000}"/>
    <cellStyle name="SAPBEXaggItemX 3 2 2" xfId="4789" xr:uid="{00000000-0005-0000-0000-0000A1150000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3" xfId="4790" xr:uid="{00000000-0005-0000-0000-0000B8150000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4" xfId="5654" xr:uid="{00000000-0005-0000-0000-0000C5150000}"/>
    <cellStyle name="SAPBEXaggItemX 3 4 2" xfId="22759" xr:uid="{00000000-0005-0000-0000-0000C6150000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2" xfId="2728" xr:uid="{00000000-0005-0000-0000-0000D6150000}"/>
    <cellStyle name="SAPBEXaggItemX 4 2 2" xfId="4787" xr:uid="{00000000-0005-0000-0000-0000D7150000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3" xfId="2727" xr:uid="{00000000-0005-0000-0000-0000EE150000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4" xfId="4788" xr:uid="{00000000-0005-0000-0000-0000FC15000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2" xfId="2730" xr:uid="{00000000-0005-0000-0000-000014160000}"/>
    <cellStyle name="SAPBEXaggItemX 5 2 2" xfId="4785" xr:uid="{00000000-0005-0000-0000-000015160000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3" xfId="4786" xr:uid="{00000000-0005-0000-0000-00002C160000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6" xfId="2731" xr:uid="{00000000-0005-0000-0000-000043160000}"/>
    <cellStyle name="SAPBEXaggItemX 6 2" xfId="2732" xr:uid="{00000000-0005-0000-0000-000044160000}"/>
    <cellStyle name="SAPBEXaggItemX 6 2 2" xfId="4783" xr:uid="{00000000-0005-0000-0000-000045160000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3" xfId="4784" xr:uid="{00000000-0005-0000-0000-00005C160000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7" xfId="2733" xr:uid="{00000000-0005-0000-0000-000073160000}"/>
    <cellStyle name="SAPBEXaggItemX 7 2" xfId="2734" xr:uid="{00000000-0005-0000-0000-000074160000}"/>
    <cellStyle name="SAPBEXaggItemX 7 2 2" xfId="4781" xr:uid="{00000000-0005-0000-0000-000075160000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3" xfId="4782" xr:uid="{00000000-0005-0000-0000-00008C160000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8" xfId="2735" xr:uid="{00000000-0005-0000-0000-0000A3160000}"/>
    <cellStyle name="SAPBEXaggItemX 8 2" xfId="4780" xr:uid="{00000000-0005-0000-0000-0000A4160000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9" xfId="2736" xr:uid="{00000000-0005-0000-0000-0000BB160000}"/>
    <cellStyle name="SAPBEXaggItemX 9 2" xfId="4779" xr:uid="{00000000-0005-0000-0000-0000BC160000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2" xfId="591" xr:uid="{00000000-0005-0000-0000-0000EA160000}"/>
    <cellStyle name="SAPBEXchaText 2 2 10" xfId="4990" xr:uid="{00000000-0005-0000-0000-0000EB160000}"/>
    <cellStyle name="SAPBEXchaText 2 2 2" xfId="592" xr:uid="{00000000-0005-0000-0000-0000EC160000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3" xfId="2027" xr:uid="{00000000-0005-0000-0000-0000FA160000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3" xfId="37912" xr:uid="{00000000-0005-0000-0000-000011170000}"/>
    <cellStyle name="SAPBEXchaText 2 4" xfId="5182" xr:uid="{00000000-0005-0000-0000-000012170000}"/>
    <cellStyle name="SAPBEXchaText 2 4 2" xfId="37209" xr:uid="{00000000-0005-0000-0000-000013170000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4" xfId="37904" xr:uid="{00000000-0005-0000-0000-00001D170000}"/>
    <cellStyle name="SAPBEXchaText 4" xfId="594" xr:uid="{00000000-0005-0000-0000-00001E170000}"/>
    <cellStyle name="SAPBEXchaText 4 10" xfId="22307" xr:uid="{00000000-0005-0000-0000-00001F170000}"/>
    <cellStyle name="SAPBEXchaText 4 2" xfId="595" xr:uid="{00000000-0005-0000-0000-000020170000}"/>
    <cellStyle name="SAPBEXchaText 4 2 2" xfId="5649" xr:uid="{00000000-0005-0000-0000-000021170000}"/>
    <cellStyle name="SAPBEXchaText 4 2 2 2" xfId="37811" xr:uid="{00000000-0005-0000-0000-000022170000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3" xfId="5650" xr:uid="{00000000-0005-0000-0000-000029170000}"/>
    <cellStyle name="SAPBEXchaText 4 3 2" xfId="37812" xr:uid="{00000000-0005-0000-0000-00002A170000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2" xfId="597" xr:uid="{00000000-0005-0000-0000-000034170000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2" xfId="600" xr:uid="{00000000-0005-0000-0000-00005F170000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2" xfId="602" xr:uid="{00000000-0005-0000-0000-000071170000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2" xfId="604" xr:uid="{00000000-0005-0000-0000-000083170000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2" xfId="2740" xr:uid="{00000000-0005-0000-0000-00009A170000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2" xfId="2741" xr:uid="{00000000-0005-0000-0000-0000BE170000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2" xfId="4776" xr:uid="{00000000-0005-0000-0000-0000E1170000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3" xfId="2743" xr:uid="{00000000-0005-0000-0000-0000F8170000}"/>
    <cellStyle name="SAPBEXexcBad7 13 2" xfId="4775" xr:uid="{00000000-0005-0000-0000-0000F9170000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4" xfId="2744" xr:uid="{00000000-0005-0000-0000-000010180000}"/>
    <cellStyle name="SAPBEXexcBad7 14 2" xfId="4774" xr:uid="{00000000-0005-0000-0000-000011180000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5" xfId="2745" xr:uid="{00000000-0005-0000-0000-000028180000}"/>
    <cellStyle name="SAPBEXexcBad7 15 2" xfId="4773" xr:uid="{00000000-0005-0000-0000-000029180000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6" xfId="2746" xr:uid="{00000000-0005-0000-0000-000040180000}"/>
    <cellStyle name="SAPBEXexcBad7 16 2" xfId="4772" xr:uid="{00000000-0005-0000-0000-000041180000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7" xfId="2747" xr:uid="{00000000-0005-0000-0000-000058180000}"/>
    <cellStyle name="SAPBEXexcBad7 17 2" xfId="4771" xr:uid="{00000000-0005-0000-0000-000059180000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8" xfId="4910" xr:uid="{00000000-0005-0000-0000-000070180000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2" xfId="2749" xr:uid="{00000000-0005-0000-0000-000088180000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3" xfId="4769" xr:uid="{00000000-0005-0000-0000-000096180000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3" xfId="609" xr:uid="{00000000-0005-0000-0000-0000E9180000}"/>
    <cellStyle name="SAPBEXexcBad7 3 2" xfId="610" xr:uid="{00000000-0005-0000-0000-0000EA180000}"/>
    <cellStyle name="SAPBEXexcBad7 3 2 2" xfId="4767" xr:uid="{00000000-0005-0000-0000-0000EB180000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3" xfId="4768" xr:uid="{00000000-0005-0000-0000-000002190000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2" xfId="2751" xr:uid="{00000000-0005-0000-0000-00001E190000}"/>
    <cellStyle name="SAPBEXexcBad7 4 2 2" xfId="4765" xr:uid="{00000000-0005-0000-0000-00001F190000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3" xfId="2750" xr:uid="{00000000-0005-0000-0000-000036190000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4" xfId="4766" xr:uid="{00000000-0005-0000-0000-000044190000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2" xfId="613" xr:uid="{00000000-0005-0000-0000-00005E190000}"/>
    <cellStyle name="SAPBEXexcBad7 5 2 10" xfId="22318" xr:uid="{00000000-0005-0000-0000-00005F190000}"/>
    <cellStyle name="SAPBEXexcBad7 5 2 2" xfId="2753" xr:uid="{00000000-0005-0000-0000-000060190000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2" xfId="7924" xr:uid="{00000000-0005-0000-0000-000083190000}"/>
    <cellStyle name="SAPBEXexcBad7 5 3 2 2" xfId="23954" xr:uid="{00000000-0005-0000-0000-000084190000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4" xfId="4764" xr:uid="{00000000-0005-0000-0000-00009019000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2" xfId="615" xr:uid="{00000000-0005-0000-0000-0000A6190000}"/>
    <cellStyle name="SAPBEXexcBad7 6 2 10" xfId="22320" xr:uid="{00000000-0005-0000-0000-0000A7190000}"/>
    <cellStyle name="SAPBEXexcBad7 6 2 2" xfId="2755" xr:uid="{00000000-0005-0000-0000-0000A8190000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2" xfId="7926" xr:uid="{00000000-0005-0000-0000-0000CB190000}"/>
    <cellStyle name="SAPBEXexcBad7 6 3 2 2" xfId="23956" xr:uid="{00000000-0005-0000-0000-0000CC190000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4" xfId="4762" xr:uid="{00000000-0005-0000-0000-0000D819000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2" xfId="617" xr:uid="{00000000-0005-0000-0000-0000EE190000}"/>
    <cellStyle name="SAPBEXexcBad7 7 2 10" xfId="22322" xr:uid="{00000000-0005-0000-0000-0000EF190000}"/>
    <cellStyle name="SAPBEXexcBad7 7 2 2" xfId="2757" xr:uid="{00000000-0005-0000-0000-0000F0190000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2" xfId="7928" xr:uid="{00000000-0005-0000-0000-0000131A0000}"/>
    <cellStyle name="SAPBEXexcBad7 7 3 2 2" xfId="23958" xr:uid="{00000000-0005-0000-0000-0000141A0000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4" xfId="4760" xr:uid="{00000000-0005-0000-0000-0000201A0000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2" xfId="619" xr:uid="{00000000-0005-0000-0000-0000361A0000}"/>
    <cellStyle name="SAPBEXexcBad7 8 2 2" xfId="5625" xr:uid="{00000000-0005-0000-0000-0000371A0000}"/>
    <cellStyle name="SAPBEXexcBad7 8 2 2 2" xfId="37196" xr:uid="{00000000-0005-0000-0000-0000381A0000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3" xfId="2758" xr:uid="{00000000-0005-0000-0000-00003F1A0000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2" xfId="2759" xr:uid="{00000000-0005-0000-0000-0000621A000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2" xfId="2760" xr:uid="{00000000-0005-0000-0000-00008D1A0000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2" xfId="2761" xr:uid="{00000000-0005-0000-0000-0000B11A0000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2" xfId="4754" xr:uid="{00000000-0005-0000-0000-0000D41A0000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3" xfId="2763" xr:uid="{00000000-0005-0000-0000-0000EB1A0000}"/>
    <cellStyle name="SAPBEXexcBad8 13 2" xfId="4753" xr:uid="{00000000-0005-0000-0000-0000EC1A0000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4" xfId="2764" xr:uid="{00000000-0005-0000-0000-0000031B0000}"/>
    <cellStyle name="SAPBEXexcBad8 14 2" xfId="4752" xr:uid="{00000000-0005-0000-0000-0000041B0000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5" xfId="2765" xr:uid="{00000000-0005-0000-0000-00001B1B0000}"/>
    <cellStyle name="SAPBEXexcBad8 15 2" xfId="4751" xr:uid="{00000000-0005-0000-0000-00001C1B0000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6" xfId="2766" xr:uid="{00000000-0005-0000-0000-0000331B0000}"/>
    <cellStyle name="SAPBEXexcBad8 16 2" xfId="4750" xr:uid="{00000000-0005-0000-0000-0000341B0000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7" xfId="2767" xr:uid="{00000000-0005-0000-0000-00004B1B0000}"/>
    <cellStyle name="SAPBEXexcBad8 17 2" xfId="4749" xr:uid="{00000000-0005-0000-0000-00004C1B0000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8" xfId="4909" xr:uid="{00000000-0005-0000-0000-0000631B0000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2" xfId="2769" xr:uid="{00000000-0005-0000-0000-00007B1B0000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3" xfId="4747" xr:uid="{00000000-0005-0000-0000-0000891B0000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3" xfId="624" xr:uid="{00000000-0005-0000-0000-0000DC1B0000}"/>
    <cellStyle name="SAPBEXexcBad8 3 2" xfId="625" xr:uid="{00000000-0005-0000-0000-0000DD1B0000}"/>
    <cellStyle name="SAPBEXexcBad8 3 2 2" xfId="4745" xr:uid="{00000000-0005-0000-0000-0000DE1B0000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3" xfId="4746" xr:uid="{00000000-0005-0000-0000-0000F51B0000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2" xfId="2771" xr:uid="{00000000-0005-0000-0000-0000111C0000}"/>
    <cellStyle name="SAPBEXexcBad8 4 2 2" xfId="4743" xr:uid="{00000000-0005-0000-0000-0000121C0000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3" xfId="2770" xr:uid="{00000000-0005-0000-0000-0000291C0000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4" xfId="4744" xr:uid="{00000000-0005-0000-0000-0000371C0000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2" xfId="628" xr:uid="{00000000-0005-0000-0000-0000511C0000}"/>
    <cellStyle name="SAPBEXexcBad8 5 2 10" xfId="22328" xr:uid="{00000000-0005-0000-0000-0000521C0000}"/>
    <cellStyle name="SAPBEXexcBad8 5 2 2" xfId="2773" xr:uid="{00000000-0005-0000-0000-0000531C0000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2" xfId="7944" xr:uid="{00000000-0005-0000-0000-0000761C0000}"/>
    <cellStyle name="SAPBEXexcBad8 5 3 2 2" xfId="23974" xr:uid="{00000000-0005-0000-0000-0000771C0000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4" xfId="4742" xr:uid="{00000000-0005-0000-0000-0000831C0000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2" xfId="630" xr:uid="{00000000-0005-0000-0000-0000991C0000}"/>
    <cellStyle name="SAPBEXexcBad8 6 2 10" xfId="22330" xr:uid="{00000000-0005-0000-0000-00009A1C0000}"/>
    <cellStyle name="SAPBEXexcBad8 6 2 2" xfId="2775" xr:uid="{00000000-0005-0000-0000-00009B1C0000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2" xfId="7946" xr:uid="{00000000-0005-0000-0000-0000BE1C0000}"/>
    <cellStyle name="SAPBEXexcBad8 6 3 2 2" xfId="23976" xr:uid="{00000000-0005-0000-0000-0000BF1C0000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4" xfId="4740" xr:uid="{00000000-0005-0000-0000-0000CB1C000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2" xfId="632" xr:uid="{00000000-0005-0000-0000-0000E11C0000}"/>
    <cellStyle name="SAPBEXexcBad8 7 2 10" xfId="22332" xr:uid="{00000000-0005-0000-0000-0000E21C0000}"/>
    <cellStyle name="SAPBEXexcBad8 7 2 2" xfId="2777" xr:uid="{00000000-0005-0000-0000-0000E31C000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2" xfId="7948" xr:uid="{00000000-0005-0000-0000-0000061D0000}"/>
    <cellStyle name="SAPBEXexcBad8 7 3 2 2" xfId="23978" xr:uid="{00000000-0005-0000-0000-0000071D0000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4" xfId="4738" xr:uid="{00000000-0005-0000-0000-0000131D0000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2" xfId="634" xr:uid="{00000000-0005-0000-0000-0000291D0000}"/>
    <cellStyle name="SAPBEXexcBad8 8 2 2" xfId="5610" xr:uid="{00000000-0005-0000-0000-00002A1D0000}"/>
    <cellStyle name="SAPBEXexcBad8 8 2 2 2" xfId="37186" xr:uid="{00000000-0005-0000-0000-00002B1D0000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3" xfId="2778" xr:uid="{00000000-0005-0000-0000-0000321D0000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2" xfId="2779" xr:uid="{00000000-0005-0000-0000-0000551D0000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2" xfId="2780" xr:uid="{00000000-0005-0000-0000-0000811D0000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2" xfId="2781" xr:uid="{00000000-0005-0000-0000-0000A51D0000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2" xfId="4732" xr:uid="{00000000-0005-0000-0000-0000C81D0000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3" xfId="2783" xr:uid="{00000000-0005-0000-0000-0000DF1D0000}"/>
    <cellStyle name="SAPBEXexcBad9 13 2" xfId="4731" xr:uid="{00000000-0005-0000-0000-0000E01D0000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4" xfId="2784" xr:uid="{00000000-0005-0000-0000-0000F71D0000}"/>
    <cellStyle name="SAPBEXexcBad9 14 2" xfId="4730" xr:uid="{00000000-0005-0000-0000-0000F81D0000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5" xfId="2785" xr:uid="{00000000-0005-0000-0000-00000F1E0000}"/>
    <cellStyle name="SAPBEXexcBad9 15 2" xfId="4729" xr:uid="{00000000-0005-0000-0000-0000101E0000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6" xfId="2786" xr:uid="{00000000-0005-0000-0000-0000271E0000}"/>
    <cellStyle name="SAPBEXexcBad9 16 2" xfId="4728" xr:uid="{00000000-0005-0000-0000-0000281E0000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7" xfId="2787" xr:uid="{00000000-0005-0000-0000-00003F1E0000}"/>
    <cellStyle name="SAPBEXexcBad9 17 2" xfId="4727" xr:uid="{00000000-0005-0000-0000-0000401E0000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8" xfId="4908" xr:uid="{00000000-0005-0000-0000-0000571E0000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2" xfId="2789" xr:uid="{00000000-0005-0000-0000-00006F1E0000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3" xfId="4725" xr:uid="{00000000-0005-0000-0000-00007D1E0000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3" xfId="639" xr:uid="{00000000-0005-0000-0000-0000D01E0000}"/>
    <cellStyle name="SAPBEXexcBad9 3 2" xfId="640" xr:uid="{00000000-0005-0000-0000-0000D11E0000}"/>
    <cellStyle name="SAPBEXexcBad9 3 2 2" xfId="4723" xr:uid="{00000000-0005-0000-0000-0000D21E0000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3" xfId="4724" xr:uid="{00000000-0005-0000-0000-0000E91E0000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2" xfId="2792" xr:uid="{00000000-0005-0000-0000-0000051F0000}"/>
    <cellStyle name="SAPBEXexcBad9 4 2 2" xfId="4721" xr:uid="{00000000-0005-0000-0000-0000061F0000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3" xfId="2791" xr:uid="{00000000-0005-0000-0000-00001D1F000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4" xfId="4722" xr:uid="{00000000-0005-0000-0000-00002B1F0000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2" xfId="2794" xr:uid="{00000000-0005-0000-0000-0000491F0000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4" xfId="4720" xr:uid="{00000000-0005-0000-0000-0000791F0000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2" xfId="2796" xr:uid="{00000000-0005-0000-0000-0000931F0000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4" xfId="4718" xr:uid="{00000000-0005-0000-0000-0000C31F0000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2" xfId="2798" xr:uid="{00000000-0005-0000-0000-0000DD1F0000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4" xfId="4716" xr:uid="{00000000-0005-0000-0000-00000D200000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2" xfId="649" xr:uid="{00000000-0005-0000-0000-000024200000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2" xfId="2800" xr:uid="{00000000-0005-0000-0000-0000512000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2" xfId="2801" xr:uid="{00000000-0005-0000-0000-00007D200000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2" xfId="2802" xr:uid="{00000000-0005-0000-0000-0000A1200000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2" xfId="4710" xr:uid="{00000000-0005-0000-0000-0000C4200000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3" xfId="2804" xr:uid="{00000000-0005-0000-0000-0000DB200000}"/>
    <cellStyle name="SAPBEXexcCritical4 13 2" xfId="4709" xr:uid="{00000000-0005-0000-0000-0000DC200000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4" xfId="2805" xr:uid="{00000000-0005-0000-0000-0000F3200000}"/>
    <cellStyle name="SAPBEXexcCritical4 14 2" xfId="4708" xr:uid="{00000000-0005-0000-0000-0000F4200000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5" xfId="2806" xr:uid="{00000000-0005-0000-0000-00000B210000}"/>
    <cellStyle name="SAPBEXexcCritical4 15 2" xfId="4707" xr:uid="{00000000-0005-0000-0000-00000C210000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6" xfId="2807" xr:uid="{00000000-0005-0000-0000-000023210000}"/>
    <cellStyle name="SAPBEXexcCritical4 16 2" xfId="4706" xr:uid="{00000000-0005-0000-0000-000024210000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7" xfId="2808" xr:uid="{00000000-0005-0000-0000-00003B210000}"/>
    <cellStyle name="SAPBEXexcCritical4 17 2" xfId="4705" xr:uid="{00000000-0005-0000-0000-00003C210000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8" xfId="4907" xr:uid="{00000000-0005-0000-0000-000053210000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2" xfId="2810" xr:uid="{00000000-0005-0000-0000-00006B210000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3" xfId="4703" xr:uid="{00000000-0005-0000-0000-000079210000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3" xfId="654" xr:uid="{00000000-0005-0000-0000-0000CC210000}"/>
    <cellStyle name="SAPBEXexcCritical4 3 2" xfId="655" xr:uid="{00000000-0005-0000-0000-0000CD210000}"/>
    <cellStyle name="SAPBEXexcCritical4 3 2 2" xfId="4701" xr:uid="{00000000-0005-0000-0000-0000CE210000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3" xfId="4702" xr:uid="{00000000-0005-0000-0000-0000E5210000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2" xfId="2812" xr:uid="{00000000-0005-0000-0000-000001220000}"/>
    <cellStyle name="SAPBEXexcCritical4 4 2 2" xfId="4699" xr:uid="{00000000-0005-0000-0000-000002220000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3" xfId="2811" xr:uid="{00000000-0005-0000-0000-000019220000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4" xfId="4700" xr:uid="{00000000-0005-0000-0000-000027220000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2" xfId="658" xr:uid="{00000000-0005-0000-0000-000041220000}"/>
    <cellStyle name="SAPBEXexcCritical4 5 2 10" xfId="22348" xr:uid="{00000000-0005-0000-0000-000042220000}"/>
    <cellStyle name="SAPBEXexcCritical4 5 2 2" xfId="2814" xr:uid="{00000000-0005-0000-0000-000043220000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2" xfId="7985" xr:uid="{00000000-0005-0000-0000-000066220000}"/>
    <cellStyle name="SAPBEXexcCritical4 5 3 2 2" xfId="24014" xr:uid="{00000000-0005-0000-0000-000067220000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4" xfId="4698" xr:uid="{00000000-0005-0000-0000-000073220000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2" xfId="660" xr:uid="{00000000-0005-0000-0000-000089220000}"/>
    <cellStyle name="SAPBEXexcCritical4 6 2 10" xfId="22350" xr:uid="{00000000-0005-0000-0000-00008A220000}"/>
    <cellStyle name="SAPBEXexcCritical4 6 2 2" xfId="2816" xr:uid="{00000000-0005-0000-0000-00008B220000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2" xfId="7987" xr:uid="{00000000-0005-0000-0000-0000AE220000}"/>
    <cellStyle name="SAPBEXexcCritical4 6 3 2 2" xfId="24016" xr:uid="{00000000-0005-0000-0000-0000AF220000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4" xfId="4696" xr:uid="{00000000-0005-0000-0000-0000BB220000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2" xfId="662" xr:uid="{00000000-0005-0000-0000-0000D1220000}"/>
    <cellStyle name="SAPBEXexcCritical4 7 2 10" xfId="22352" xr:uid="{00000000-0005-0000-0000-0000D2220000}"/>
    <cellStyle name="SAPBEXexcCritical4 7 2 2" xfId="2818" xr:uid="{00000000-0005-0000-0000-0000D3220000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2" xfId="7989" xr:uid="{00000000-0005-0000-0000-0000F6220000}"/>
    <cellStyle name="SAPBEXexcCritical4 7 3 2 2" xfId="24018" xr:uid="{00000000-0005-0000-0000-0000F7220000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4" xfId="4694" xr:uid="{00000000-0005-0000-0000-000003230000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2" xfId="664" xr:uid="{00000000-0005-0000-0000-000019230000}"/>
    <cellStyle name="SAPBEXexcCritical4 8 2 2" xfId="5592" xr:uid="{00000000-0005-0000-0000-00001A230000}"/>
    <cellStyle name="SAPBEXexcCritical4 8 2 2 2" xfId="37807" xr:uid="{00000000-0005-0000-0000-00001B23000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3" xfId="2819" xr:uid="{00000000-0005-0000-0000-000022230000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2" xfId="2820" xr:uid="{00000000-0005-0000-0000-000045230000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2" xfId="2821" xr:uid="{00000000-0005-0000-0000-000070230000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2" xfId="2822" xr:uid="{00000000-0005-0000-0000-000094230000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2" xfId="4688" xr:uid="{00000000-0005-0000-0000-0000B7230000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3" xfId="2824" xr:uid="{00000000-0005-0000-0000-0000CE230000}"/>
    <cellStyle name="SAPBEXexcCritical5 13 2" xfId="4687" xr:uid="{00000000-0005-0000-0000-0000CF230000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4" xfId="2825" xr:uid="{00000000-0005-0000-0000-0000E6230000}"/>
    <cellStyle name="SAPBEXexcCritical5 14 2" xfId="4686" xr:uid="{00000000-0005-0000-0000-0000E7230000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5" xfId="2826" xr:uid="{00000000-0005-0000-0000-0000FE230000}"/>
    <cellStyle name="SAPBEXexcCritical5 15 2" xfId="4685" xr:uid="{00000000-0005-0000-0000-0000FF230000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6" xfId="2827" xr:uid="{00000000-0005-0000-0000-000016240000}"/>
    <cellStyle name="SAPBEXexcCritical5 16 2" xfId="4684" xr:uid="{00000000-0005-0000-0000-000017240000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7" xfId="2828" xr:uid="{00000000-0005-0000-0000-00002E240000}"/>
    <cellStyle name="SAPBEXexcCritical5 17 2" xfId="4683" xr:uid="{00000000-0005-0000-0000-00002F240000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8" xfId="4906" xr:uid="{00000000-0005-0000-0000-000046240000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2" xfId="2830" xr:uid="{00000000-0005-0000-0000-00005E240000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3" xfId="4681" xr:uid="{00000000-0005-0000-0000-00006C240000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3" xfId="669" xr:uid="{00000000-0005-0000-0000-0000BF240000}"/>
    <cellStyle name="SAPBEXexcCritical5 3 2" xfId="670" xr:uid="{00000000-0005-0000-0000-0000C0240000}"/>
    <cellStyle name="SAPBEXexcCritical5 3 2 2" xfId="4679" xr:uid="{00000000-0005-0000-0000-0000C1240000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3" xfId="4680" xr:uid="{00000000-0005-0000-0000-0000D8240000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2" xfId="2832" xr:uid="{00000000-0005-0000-0000-0000F4240000}"/>
    <cellStyle name="SAPBEXexcCritical5 4 2 2" xfId="4677" xr:uid="{00000000-0005-0000-0000-0000F5240000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3" xfId="2831" xr:uid="{00000000-0005-0000-0000-00000C250000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4" xfId="4678" xr:uid="{00000000-0005-0000-0000-00001A250000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2" xfId="673" xr:uid="{00000000-0005-0000-0000-000034250000}"/>
    <cellStyle name="SAPBEXexcCritical5 5 2 10" xfId="22358" xr:uid="{00000000-0005-0000-0000-000035250000}"/>
    <cellStyle name="SAPBEXexcCritical5 5 2 2" xfId="2834" xr:uid="{00000000-0005-0000-0000-000036250000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2" xfId="8005" xr:uid="{00000000-0005-0000-0000-000059250000}"/>
    <cellStyle name="SAPBEXexcCritical5 5 3 2 2" xfId="24034" xr:uid="{00000000-0005-0000-0000-00005A250000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4" xfId="4676" xr:uid="{00000000-0005-0000-0000-00006625000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2" xfId="675" xr:uid="{00000000-0005-0000-0000-00007C250000}"/>
    <cellStyle name="SAPBEXexcCritical5 6 2 10" xfId="22360" xr:uid="{00000000-0005-0000-0000-00007D250000}"/>
    <cellStyle name="SAPBEXexcCritical5 6 2 2" xfId="2836" xr:uid="{00000000-0005-0000-0000-00007E250000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2" xfId="8007" xr:uid="{00000000-0005-0000-0000-0000A1250000}"/>
    <cellStyle name="SAPBEXexcCritical5 6 3 2 2" xfId="24036" xr:uid="{00000000-0005-0000-0000-0000A2250000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4" xfId="3154" xr:uid="{00000000-0005-0000-0000-0000AE250000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2" xfId="677" xr:uid="{00000000-0005-0000-0000-0000C4250000}"/>
    <cellStyle name="SAPBEXexcCritical5 7 2 10" xfId="22362" xr:uid="{00000000-0005-0000-0000-0000C5250000}"/>
    <cellStyle name="SAPBEXexcCritical5 7 2 2" xfId="2838" xr:uid="{00000000-0005-0000-0000-0000C6250000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2" xfId="8009" xr:uid="{00000000-0005-0000-0000-0000E9250000}"/>
    <cellStyle name="SAPBEXexcCritical5 7 3 2 2" xfId="24038" xr:uid="{00000000-0005-0000-0000-0000EA250000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4" xfId="4673" xr:uid="{00000000-0005-0000-0000-0000F6250000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2" xfId="679" xr:uid="{00000000-0005-0000-0000-00000C260000}"/>
    <cellStyle name="SAPBEXexcCritical5 8 2 2" xfId="5577" xr:uid="{00000000-0005-0000-0000-00000D260000}"/>
    <cellStyle name="SAPBEXexcCritical5 8 2 2 2" xfId="37802" xr:uid="{00000000-0005-0000-0000-00000E260000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3" xfId="2839" xr:uid="{00000000-0005-0000-0000-000015260000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2" xfId="2840" xr:uid="{00000000-0005-0000-0000-000038260000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2" xfId="2841" xr:uid="{00000000-0005-0000-0000-000063260000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2" xfId="2842" xr:uid="{00000000-0005-0000-0000-00008726000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2" xfId="4667" xr:uid="{00000000-0005-0000-0000-0000AA260000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3" xfId="2844" xr:uid="{00000000-0005-0000-0000-0000C1260000}"/>
    <cellStyle name="SAPBEXexcCritical6 13 2" xfId="4666" xr:uid="{00000000-0005-0000-0000-0000C2260000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4" xfId="2845" xr:uid="{00000000-0005-0000-0000-0000D9260000}"/>
    <cellStyle name="SAPBEXexcCritical6 14 2" xfId="4665" xr:uid="{00000000-0005-0000-0000-0000DA260000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5" xfId="2846" xr:uid="{00000000-0005-0000-0000-0000F1260000}"/>
    <cellStyle name="SAPBEXexcCritical6 15 2" xfId="4664" xr:uid="{00000000-0005-0000-0000-0000F2260000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6" xfId="2847" xr:uid="{00000000-0005-0000-0000-000009270000}"/>
    <cellStyle name="SAPBEXexcCritical6 16 2" xfId="4663" xr:uid="{00000000-0005-0000-0000-00000A270000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7" xfId="2848" xr:uid="{00000000-0005-0000-0000-000021270000}"/>
    <cellStyle name="SAPBEXexcCritical6 17 2" xfId="4662" xr:uid="{00000000-0005-0000-0000-000022270000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8" xfId="4905" xr:uid="{00000000-0005-0000-0000-000039270000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2" xfId="2850" xr:uid="{00000000-0005-0000-0000-000051270000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3" xfId="4660" xr:uid="{00000000-0005-0000-0000-00005F270000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3" xfId="684" xr:uid="{00000000-0005-0000-0000-0000B2270000}"/>
    <cellStyle name="SAPBEXexcCritical6 3 2" xfId="685" xr:uid="{00000000-0005-0000-0000-0000B3270000}"/>
    <cellStyle name="SAPBEXexcCritical6 3 2 2" xfId="4658" xr:uid="{00000000-0005-0000-0000-0000B4270000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3" xfId="4659" xr:uid="{00000000-0005-0000-0000-0000CB270000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2" xfId="2852" xr:uid="{00000000-0005-0000-0000-0000E7270000}"/>
    <cellStyle name="SAPBEXexcCritical6 4 2 2" xfId="4656" xr:uid="{00000000-0005-0000-0000-0000E8270000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3" xfId="2851" xr:uid="{00000000-0005-0000-0000-0000FF270000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4" xfId="4657" xr:uid="{00000000-0005-0000-0000-00000D280000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2" xfId="688" xr:uid="{00000000-0005-0000-0000-000027280000}"/>
    <cellStyle name="SAPBEXexcCritical6 5 2 10" xfId="22368" xr:uid="{00000000-0005-0000-0000-000028280000}"/>
    <cellStyle name="SAPBEXexcCritical6 5 2 2" xfId="2854" xr:uid="{00000000-0005-0000-0000-000029280000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2" xfId="8025" xr:uid="{00000000-0005-0000-0000-00004C280000}"/>
    <cellStyle name="SAPBEXexcCritical6 5 3 2 2" xfId="24054" xr:uid="{00000000-0005-0000-0000-00004D280000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4" xfId="4655" xr:uid="{00000000-0005-0000-0000-000059280000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2" xfId="690" xr:uid="{00000000-0005-0000-0000-00006F280000}"/>
    <cellStyle name="SAPBEXexcCritical6 6 2 10" xfId="22370" xr:uid="{00000000-0005-0000-0000-000070280000}"/>
    <cellStyle name="SAPBEXexcCritical6 6 2 2" xfId="2856" xr:uid="{00000000-0005-0000-0000-000071280000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2" xfId="8027" xr:uid="{00000000-0005-0000-0000-000094280000}"/>
    <cellStyle name="SAPBEXexcCritical6 6 3 2 2" xfId="24056" xr:uid="{00000000-0005-0000-0000-000095280000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4" xfId="4653" xr:uid="{00000000-0005-0000-0000-0000A1280000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2" xfId="692" xr:uid="{00000000-0005-0000-0000-0000B7280000}"/>
    <cellStyle name="SAPBEXexcCritical6 7 2 10" xfId="22372" xr:uid="{00000000-0005-0000-0000-0000B8280000}"/>
    <cellStyle name="SAPBEXexcCritical6 7 2 2" xfId="2858" xr:uid="{00000000-0005-0000-0000-0000B9280000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2" xfId="8029" xr:uid="{00000000-0005-0000-0000-0000DC280000}"/>
    <cellStyle name="SAPBEXexcCritical6 7 3 2 2" xfId="24058" xr:uid="{00000000-0005-0000-0000-0000DD280000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4" xfId="4651" xr:uid="{00000000-0005-0000-0000-0000E9280000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2" xfId="694" xr:uid="{00000000-0005-0000-0000-0000FF280000}"/>
    <cellStyle name="SAPBEXexcCritical6 8 2 2" xfId="5562" xr:uid="{00000000-0005-0000-0000-000000290000}"/>
    <cellStyle name="SAPBEXexcCritical6 8 2 2 2" xfId="37769" xr:uid="{00000000-0005-0000-0000-000001290000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3" xfId="2859" xr:uid="{00000000-0005-0000-0000-000008290000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2" xfId="2860" xr:uid="{00000000-0005-0000-0000-00002B290000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2" xfId="2861" xr:uid="{00000000-0005-0000-0000-000057290000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2" xfId="2862" xr:uid="{00000000-0005-0000-0000-00007B290000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2" xfId="4645" xr:uid="{00000000-0005-0000-0000-00009E290000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3" xfId="2864" xr:uid="{00000000-0005-0000-0000-0000B5290000}"/>
    <cellStyle name="SAPBEXexcGood1 13 2" xfId="4644" xr:uid="{00000000-0005-0000-0000-0000B6290000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4" xfId="2865" xr:uid="{00000000-0005-0000-0000-0000CD290000}"/>
    <cellStyle name="SAPBEXexcGood1 14 2" xfId="4643" xr:uid="{00000000-0005-0000-0000-0000CE290000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5" xfId="2866" xr:uid="{00000000-0005-0000-0000-0000E5290000}"/>
    <cellStyle name="SAPBEXexcGood1 15 2" xfId="4642" xr:uid="{00000000-0005-0000-0000-0000E6290000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6" xfId="2867" xr:uid="{00000000-0005-0000-0000-0000FD290000}"/>
    <cellStyle name="SAPBEXexcGood1 16 2" xfId="4641" xr:uid="{00000000-0005-0000-0000-0000FE290000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7" xfId="2868" xr:uid="{00000000-0005-0000-0000-0000152A0000}"/>
    <cellStyle name="SAPBEXexcGood1 17 2" xfId="4640" xr:uid="{00000000-0005-0000-0000-0000162A0000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8" xfId="4904" xr:uid="{00000000-0005-0000-0000-00002D2A0000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2" xfId="2870" xr:uid="{00000000-0005-0000-0000-0000452A0000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3" xfId="4638" xr:uid="{00000000-0005-0000-0000-0000532A0000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3" xfId="699" xr:uid="{00000000-0005-0000-0000-0000A62A0000}"/>
    <cellStyle name="SAPBEXexcGood1 3 2" xfId="700" xr:uid="{00000000-0005-0000-0000-0000A72A0000}"/>
    <cellStyle name="SAPBEXexcGood1 3 2 2" xfId="4636" xr:uid="{00000000-0005-0000-0000-0000A82A0000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3" xfId="4637" xr:uid="{00000000-0005-0000-0000-0000BF2A0000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2" xfId="2872" xr:uid="{00000000-0005-0000-0000-0000DB2A0000}"/>
    <cellStyle name="SAPBEXexcGood1 4 2 2" xfId="4634" xr:uid="{00000000-0005-0000-0000-0000DC2A0000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3" xfId="2871" xr:uid="{00000000-0005-0000-0000-0000F32A000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4" xfId="4635" xr:uid="{00000000-0005-0000-0000-0000012B00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2" xfId="703" xr:uid="{00000000-0005-0000-0000-00001B2B0000}"/>
    <cellStyle name="SAPBEXexcGood1 5 2 10" xfId="22378" xr:uid="{00000000-0005-0000-0000-00001C2B0000}"/>
    <cellStyle name="SAPBEXexcGood1 5 2 2" xfId="2874" xr:uid="{00000000-0005-0000-0000-00001D2B0000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2" xfId="8045" xr:uid="{00000000-0005-0000-0000-0000402B0000}"/>
    <cellStyle name="SAPBEXexcGood1 5 3 2 2" xfId="24074" xr:uid="{00000000-0005-0000-0000-0000412B0000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4" xfId="4633" xr:uid="{00000000-0005-0000-0000-00004D2B0000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2" xfId="705" xr:uid="{00000000-0005-0000-0000-0000632B0000}"/>
    <cellStyle name="SAPBEXexcGood1 6 2 10" xfId="22380" xr:uid="{00000000-0005-0000-0000-0000642B0000}"/>
    <cellStyle name="SAPBEXexcGood1 6 2 2" xfId="2876" xr:uid="{00000000-0005-0000-0000-0000652B0000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2" xfId="8047" xr:uid="{00000000-0005-0000-0000-0000882B0000}"/>
    <cellStyle name="SAPBEXexcGood1 6 3 2 2" xfId="24076" xr:uid="{00000000-0005-0000-0000-0000892B0000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4" xfId="4631" xr:uid="{00000000-0005-0000-0000-0000952B0000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2" xfId="707" xr:uid="{00000000-0005-0000-0000-0000AB2B0000}"/>
    <cellStyle name="SAPBEXexcGood1 7 2 10" xfId="22382" xr:uid="{00000000-0005-0000-0000-0000AC2B0000}"/>
    <cellStyle name="SAPBEXexcGood1 7 2 2" xfId="2878" xr:uid="{00000000-0005-0000-0000-0000AD2B0000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2" xfId="8049" xr:uid="{00000000-0005-0000-0000-0000D02B0000}"/>
    <cellStyle name="SAPBEXexcGood1 7 3 2 2" xfId="24078" xr:uid="{00000000-0005-0000-0000-0000D12B0000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4" xfId="4629" xr:uid="{00000000-0005-0000-0000-0000DD2B0000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2" xfId="709" xr:uid="{00000000-0005-0000-0000-0000F32B0000}"/>
    <cellStyle name="SAPBEXexcGood1 8 2 2" xfId="5547" xr:uid="{00000000-0005-0000-0000-0000F42B0000}"/>
    <cellStyle name="SAPBEXexcGood1 8 2 2 2" xfId="37154" xr:uid="{00000000-0005-0000-0000-0000F52B0000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3" xfId="2879" xr:uid="{00000000-0005-0000-0000-0000FC2B0000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2" xfId="2880" xr:uid="{00000000-0005-0000-0000-00001F2C0000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2" xfId="2881" xr:uid="{00000000-0005-0000-0000-00004A2C0000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2" xfId="2882" xr:uid="{00000000-0005-0000-0000-00006E2C0000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2" xfId="4623" xr:uid="{00000000-0005-0000-0000-0000912C0000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3" xfId="2884" xr:uid="{00000000-0005-0000-0000-0000A82C0000}"/>
    <cellStyle name="SAPBEXexcGood2 13 2" xfId="4622" xr:uid="{00000000-0005-0000-0000-0000A92C0000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4" xfId="2885" xr:uid="{00000000-0005-0000-0000-0000C02C0000}"/>
    <cellStyle name="SAPBEXexcGood2 14 2" xfId="4621" xr:uid="{00000000-0005-0000-0000-0000C12C0000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5" xfId="2886" xr:uid="{00000000-0005-0000-0000-0000D82C0000}"/>
    <cellStyle name="SAPBEXexcGood2 15 2" xfId="4620" xr:uid="{00000000-0005-0000-0000-0000D92C0000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6" xfId="2887" xr:uid="{00000000-0005-0000-0000-0000F02C0000}"/>
    <cellStyle name="SAPBEXexcGood2 16 2" xfId="4619" xr:uid="{00000000-0005-0000-0000-0000F12C0000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7" xfId="2888" xr:uid="{00000000-0005-0000-0000-0000082D0000}"/>
    <cellStyle name="SAPBEXexcGood2 17 2" xfId="4618" xr:uid="{00000000-0005-0000-0000-0000092D0000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8" xfId="4903" xr:uid="{00000000-0005-0000-0000-0000202D0000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2" xfId="2890" xr:uid="{00000000-0005-0000-0000-0000382D0000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3" xfId="4616" xr:uid="{00000000-0005-0000-0000-0000462D0000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3" xfId="714" xr:uid="{00000000-0005-0000-0000-0000992D0000}"/>
    <cellStyle name="SAPBEXexcGood2 3 2" xfId="715" xr:uid="{00000000-0005-0000-0000-00009A2D0000}"/>
    <cellStyle name="SAPBEXexcGood2 3 2 2" xfId="4614" xr:uid="{00000000-0005-0000-0000-00009B2D0000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3" xfId="4615" xr:uid="{00000000-0005-0000-0000-0000B22D0000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2" xfId="2893" xr:uid="{00000000-0005-0000-0000-0000CE2D0000}"/>
    <cellStyle name="SAPBEXexcGood2 4 2 2" xfId="4612" xr:uid="{00000000-0005-0000-0000-0000CF2D0000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3" xfId="2892" xr:uid="{00000000-0005-0000-0000-0000E62D000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4" xfId="4613" xr:uid="{00000000-0005-0000-0000-0000F42D0000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2" xfId="718" xr:uid="{00000000-0005-0000-0000-00000E2E0000}"/>
    <cellStyle name="SAPBEXexcGood2 5 2 10" xfId="22388" xr:uid="{00000000-0005-0000-0000-00000F2E0000}"/>
    <cellStyle name="SAPBEXexcGood2 5 2 2" xfId="2895" xr:uid="{00000000-0005-0000-0000-0000102E0000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2" xfId="8066" xr:uid="{00000000-0005-0000-0000-0000332E0000}"/>
    <cellStyle name="SAPBEXexcGood2 5 3 2 2" xfId="24095" xr:uid="{00000000-0005-0000-0000-0000342E0000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4" xfId="4611" xr:uid="{00000000-0005-0000-0000-0000402E0000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2" xfId="720" xr:uid="{00000000-0005-0000-0000-0000562E0000}"/>
    <cellStyle name="SAPBEXexcGood2 6 2 10" xfId="22390" xr:uid="{00000000-0005-0000-0000-0000572E0000}"/>
    <cellStyle name="SAPBEXexcGood2 6 2 2" xfId="2897" xr:uid="{00000000-0005-0000-0000-0000582E0000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2" xfId="8068" xr:uid="{00000000-0005-0000-0000-00007B2E0000}"/>
    <cellStyle name="SAPBEXexcGood2 6 3 2 2" xfId="24097" xr:uid="{00000000-0005-0000-0000-00007C2E0000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4" xfId="4609" xr:uid="{00000000-0005-0000-0000-0000882E0000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2" xfId="722" xr:uid="{00000000-0005-0000-0000-00009E2E0000}"/>
    <cellStyle name="SAPBEXexcGood2 7 2 10" xfId="22392" xr:uid="{00000000-0005-0000-0000-00009F2E0000}"/>
    <cellStyle name="SAPBEXexcGood2 7 2 2" xfId="2899" xr:uid="{00000000-0005-0000-0000-0000A02E0000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2" xfId="8070" xr:uid="{00000000-0005-0000-0000-0000C32E0000}"/>
    <cellStyle name="SAPBEXexcGood2 7 3 2 2" xfId="24099" xr:uid="{00000000-0005-0000-0000-0000C42E000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4" xfId="4607" xr:uid="{00000000-0005-0000-0000-0000D02E0000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2" xfId="724" xr:uid="{00000000-0005-0000-0000-0000E62E0000}"/>
    <cellStyle name="SAPBEXexcGood2 8 2 2" xfId="5535" xr:uid="{00000000-0005-0000-0000-0000E72E0000}"/>
    <cellStyle name="SAPBEXexcGood2 8 2 2 2" xfId="37145" xr:uid="{00000000-0005-0000-0000-0000E82E0000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3" xfId="2900" xr:uid="{00000000-0005-0000-0000-0000EF2E0000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2" xfId="2901" xr:uid="{00000000-0005-0000-0000-0000122F0000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2" xfId="2902" xr:uid="{00000000-0005-0000-0000-00003D2F0000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2" xfId="2903" xr:uid="{00000000-0005-0000-0000-0000612F0000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2" xfId="4601" xr:uid="{00000000-0005-0000-0000-0000842F0000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3" xfId="2905" xr:uid="{00000000-0005-0000-0000-00009B2F0000}"/>
    <cellStyle name="SAPBEXexcGood3 13 2" xfId="4600" xr:uid="{00000000-0005-0000-0000-00009C2F0000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4" xfId="2906" xr:uid="{00000000-0005-0000-0000-0000B32F0000}"/>
    <cellStyle name="SAPBEXexcGood3 14 2" xfId="4599" xr:uid="{00000000-0005-0000-0000-0000B42F0000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5" xfId="2907" xr:uid="{00000000-0005-0000-0000-0000CB2F0000}"/>
    <cellStyle name="SAPBEXexcGood3 15 2" xfId="4598" xr:uid="{00000000-0005-0000-0000-0000CC2F000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6" xfId="2908" xr:uid="{00000000-0005-0000-0000-0000E32F0000}"/>
    <cellStyle name="SAPBEXexcGood3 16 2" xfId="4597" xr:uid="{00000000-0005-0000-0000-0000E42F0000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7" xfId="2909" xr:uid="{00000000-0005-0000-0000-0000FB2F0000}"/>
    <cellStyle name="SAPBEXexcGood3 17 2" xfId="4596" xr:uid="{00000000-0005-0000-0000-0000FC2F0000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8" xfId="4902" xr:uid="{00000000-0005-0000-0000-000013300000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2" xfId="2911" xr:uid="{00000000-0005-0000-0000-00002B300000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3" xfId="4594" xr:uid="{00000000-0005-0000-0000-000039300000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3" xfId="729" xr:uid="{00000000-0005-0000-0000-00008C300000}"/>
    <cellStyle name="SAPBEXexcGood3 3 2" xfId="730" xr:uid="{00000000-0005-0000-0000-00008D300000}"/>
    <cellStyle name="SAPBEXexcGood3 3 2 2" xfId="4592" xr:uid="{00000000-0005-0000-0000-00008E300000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3" xfId="4593" xr:uid="{00000000-0005-0000-0000-0000A5300000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2" xfId="2914" xr:uid="{00000000-0005-0000-0000-0000C1300000}"/>
    <cellStyle name="SAPBEXexcGood3 4 2 2" xfId="4590" xr:uid="{00000000-0005-0000-0000-0000C2300000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3" xfId="2913" xr:uid="{00000000-0005-0000-0000-0000D9300000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4" xfId="4591" xr:uid="{00000000-0005-0000-0000-0000E7300000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2" xfId="733" xr:uid="{00000000-0005-0000-0000-000001310000}"/>
    <cellStyle name="SAPBEXexcGood3 5 2 10" xfId="22398" xr:uid="{00000000-0005-0000-0000-000002310000}"/>
    <cellStyle name="SAPBEXexcGood3 5 2 2" xfId="2916" xr:uid="{00000000-0005-0000-0000-000003310000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2" xfId="8087" xr:uid="{00000000-0005-0000-0000-000026310000}"/>
    <cellStyle name="SAPBEXexcGood3 5 3 2 2" xfId="24116" xr:uid="{00000000-0005-0000-0000-000027310000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4" xfId="4589" xr:uid="{00000000-0005-0000-0000-000033310000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2" xfId="735" xr:uid="{00000000-0005-0000-0000-000049310000}"/>
    <cellStyle name="SAPBEXexcGood3 6 2 10" xfId="22400" xr:uid="{00000000-0005-0000-0000-00004A310000}"/>
    <cellStyle name="SAPBEXexcGood3 6 2 2" xfId="2918" xr:uid="{00000000-0005-0000-0000-00004B310000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2" xfId="8089" xr:uid="{00000000-0005-0000-0000-00006E310000}"/>
    <cellStyle name="SAPBEXexcGood3 6 3 2 2" xfId="24118" xr:uid="{00000000-0005-0000-0000-00006F310000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4" xfId="4587" xr:uid="{00000000-0005-0000-0000-00007B310000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2" xfId="737" xr:uid="{00000000-0005-0000-0000-000091310000}"/>
    <cellStyle name="SAPBEXexcGood3 7 2 10" xfId="22402" xr:uid="{00000000-0005-0000-0000-000092310000}"/>
    <cellStyle name="SAPBEXexcGood3 7 2 2" xfId="2920" xr:uid="{00000000-0005-0000-0000-000093310000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2" xfId="8091" xr:uid="{00000000-0005-0000-0000-0000B6310000}"/>
    <cellStyle name="SAPBEXexcGood3 7 3 2 2" xfId="24120" xr:uid="{00000000-0005-0000-0000-0000B7310000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4" xfId="4585" xr:uid="{00000000-0005-0000-0000-0000C3310000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2" xfId="739" xr:uid="{00000000-0005-0000-0000-0000D9310000}"/>
    <cellStyle name="SAPBEXexcGood3 8 2 2" xfId="5520" xr:uid="{00000000-0005-0000-0000-0000DA310000}"/>
    <cellStyle name="SAPBEXexcGood3 8 2 2 2" xfId="37690" xr:uid="{00000000-0005-0000-0000-0000DB310000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3" xfId="2921" xr:uid="{00000000-0005-0000-0000-0000E2310000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2" xfId="2922" xr:uid="{00000000-0005-0000-0000-000005320000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2" xfId="742" xr:uid="{00000000-0005-0000-0000-000046320000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3" xfId="1829" xr:uid="{00000000-0005-0000-0000-000054320000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4" xfId="744" xr:uid="{00000000-0005-0000-0000-000073320000}"/>
    <cellStyle name="SAPBEXfilterDrill 4 10" xfId="37983" xr:uid="{00000000-0005-0000-0000-000074320000}"/>
    <cellStyle name="SAPBEXfilterDrill 4 2" xfId="745" xr:uid="{00000000-0005-0000-0000-0000753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2" xfId="747" xr:uid="{00000000-0005-0000-0000-0000893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2" xfId="749" xr:uid="{00000000-0005-0000-0000-00009D3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2" xfId="751" xr:uid="{00000000-0005-0000-0000-0000B13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9" xfId="753" xr:uid="{00000000-0005-0000-0000-0000CA3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2" xfId="756" xr:uid="{00000000-0005-0000-0000-0000D9320000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3" xfId="5504" xr:uid="{00000000-0005-0000-0000-0000E6320000}"/>
    <cellStyle name="SAPBEXfilterItem 2 3 2" xfId="22709" xr:uid="{00000000-0005-0000-0000-0000E7320000}"/>
    <cellStyle name="SAPBEXfilterItem 2 4" xfId="7309" xr:uid="{00000000-0005-0000-0000-0000E8320000}"/>
    <cellStyle name="SAPBEXfilterItem 2 4 2" xfId="23526" xr:uid="{00000000-0005-0000-0000-0000E9320000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5" xfId="760" xr:uid="{00000000-0005-0000-0000-00000A330000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4" xfId="37906" xr:uid="{00000000-0005-0000-0000-00001B330000}"/>
    <cellStyle name="SAPBEXfilterText 3" xfId="764" xr:uid="{00000000-0005-0000-0000-00001C330000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2" xfId="2923" xr:uid="{00000000-0005-0000-0000-00003A330000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2" xfId="2924" xr:uid="{00000000-0005-0000-0000-00005E330000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2" xfId="4579" xr:uid="{00000000-0005-0000-0000-000081330000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3" xfId="2926" xr:uid="{00000000-0005-0000-0000-000098330000}"/>
    <cellStyle name="SAPBEXformats 13 2" xfId="4578" xr:uid="{00000000-0005-0000-0000-000099330000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4" xfId="2927" xr:uid="{00000000-0005-0000-0000-0000B0330000}"/>
    <cellStyle name="SAPBEXformats 14 2" xfId="4577" xr:uid="{00000000-0005-0000-0000-0000B1330000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5" xfId="2928" xr:uid="{00000000-0005-0000-0000-0000C8330000}"/>
    <cellStyle name="SAPBEXformats 15 2" xfId="4576" xr:uid="{00000000-0005-0000-0000-0000C9330000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6" xfId="2929" xr:uid="{00000000-0005-0000-0000-0000E0330000}"/>
    <cellStyle name="SAPBEXformats 16 2" xfId="4575" xr:uid="{00000000-0005-0000-0000-0000E1330000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7" xfId="2930" xr:uid="{00000000-0005-0000-0000-0000F8330000}"/>
    <cellStyle name="SAPBEXformats 17 2" xfId="4574" xr:uid="{00000000-0005-0000-0000-0000F9330000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8" xfId="2912" xr:uid="{00000000-0005-0000-0000-000010340000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2" xfId="770" xr:uid="{00000000-0005-0000-0000-000029340000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3" xfId="2932" xr:uid="{00000000-0005-0000-0000-000037340000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4" xfId="4572" xr:uid="{00000000-0005-0000-0000-000045340000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3" xfId="771" xr:uid="{00000000-0005-0000-0000-000096340000}"/>
    <cellStyle name="SAPBEXformats 3 2" xfId="772" xr:uid="{00000000-0005-0000-0000-000097340000}"/>
    <cellStyle name="SAPBEXformats 3 2 2" xfId="4570" xr:uid="{00000000-0005-0000-0000-000098340000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3" xfId="4571" xr:uid="{00000000-0005-0000-0000-0000AF340000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2" xfId="2934" xr:uid="{00000000-0005-0000-0000-0000D1340000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3" xfId="3156" xr:uid="{00000000-0005-0000-0000-0000DF340000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2" xfId="777" xr:uid="{00000000-0005-0000-0000-00002E350000}"/>
    <cellStyle name="SAPBEXformats 5 2 10" xfId="22425" xr:uid="{00000000-0005-0000-0000-00002F350000}"/>
    <cellStyle name="SAPBEXformats 5 2 2" xfId="2936" xr:uid="{00000000-0005-0000-0000-000030350000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2" xfId="8107" xr:uid="{00000000-0005-0000-0000-000054350000}"/>
    <cellStyle name="SAPBEXformats 5 3 2 2" xfId="24136" xr:uid="{00000000-0005-0000-0000-000055350000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2" xfId="779" xr:uid="{00000000-0005-0000-0000-000078350000}"/>
    <cellStyle name="SAPBEXformats 6 2 10" xfId="22427" xr:uid="{00000000-0005-0000-0000-000079350000}"/>
    <cellStyle name="SAPBEXformats 6 2 2" xfId="2938" xr:uid="{00000000-0005-0000-0000-00007A350000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2" xfId="8109" xr:uid="{00000000-0005-0000-0000-00009D350000}"/>
    <cellStyle name="SAPBEXformats 6 3 2 2" xfId="24138" xr:uid="{00000000-0005-0000-0000-00009E350000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4" xfId="4567" xr:uid="{00000000-0005-0000-0000-0000AA350000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2" xfId="781" xr:uid="{00000000-0005-0000-0000-0000C0350000}"/>
    <cellStyle name="SAPBEXformats 7 2 10" xfId="22429" xr:uid="{00000000-0005-0000-0000-0000C1350000}"/>
    <cellStyle name="SAPBEXformats 7 2 2" xfId="2940" xr:uid="{00000000-0005-0000-0000-0000C2350000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2" xfId="8111" xr:uid="{00000000-0005-0000-0000-0000E5350000}"/>
    <cellStyle name="SAPBEXformats 7 3 2 2" xfId="24140" xr:uid="{00000000-0005-0000-0000-0000E6350000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4" xfId="3163" xr:uid="{00000000-0005-0000-0000-0000F2350000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2" xfId="783" xr:uid="{00000000-0005-0000-0000-000008360000}"/>
    <cellStyle name="SAPBEXformats 8 2 2" xfId="5480" xr:uid="{00000000-0005-0000-0000-000009360000}"/>
    <cellStyle name="SAPBEXformats 8 2 2 2" xfId="37608" xr:uid="{00000000-0005-0000-0000-00000A360000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3" xfId="2941" xr:uid="{00000000-0005-0000-0000-000011360000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2" xfId="2942" xr:uid="{00000000-0005-0000-0000-000034360000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1" xfId="786" xr:uid="{00000000-0005-0000-0000-00005F36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2" xfId="788" xr:uid="{00000000-0005-0000-0000-000077360000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4" xfId="1846" xr:uid="{00000000-0005-0000-0000-00008F360000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5" xfId="37907" xr:uid="{00000000-0005-0000-0000-0000A2360000}"/>
    <cellStyle name="SAPBEXheaderItem 4" xfId="791" xr:uid="{00000000-0005-0000-0000-0000A3360000}"/>
    <cellStyle name="SAPBEXheaderItem 4 10" xfId="38005" xr:uid="{00000000-0005-0000-0000-0000A4360000}"/>
    <cellStyle name="SAPBEXheaderItem 4 2" xfId="792" xr:uid="{00000000-0005-0000-0000-0000A5360000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2" xfId="795" xr:uid="{00000000-0005-0000-0000-0000D236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2" xfId="797" xr:uid="{00000000-0005-0000-0000-0000E636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2" xfId="799" xr:uid="{00000000-0005-0000-0000-0000FA36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2" xfId="801" xr:uid="{00000000-0005-0000-0000-00000E37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1" xfId="803" xr:uid="{00000000-0005-0000-0000-00002337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2" xfId="805" xr:uid="{00000000-0005-0000-0000-00003B370000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4" xfId="1850" xr:uid="{00000000-0005-0000-0000-000053370000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5" xfId="37908" xr:uid="{00000000-0005-0000-0000-000066370000}"/>
    <cellStyle name="SAPBEXheaderText 4" xfId="808" xr:uid="{00000000-0005-0000-0000-000067370000}"/>
    <cellStyle name="SAPBEXheaderText 4 10" xfId="38019" xr:uid="{00000000-0005-0000-0000-000068370000}"/>
    <cellStyle name="SAPBEXheaderText 4 2" xfId="809" xr:uid="{00000000-0005-0000-0000-000069370000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2" xfId="812" xr:uid="{00000000-0005-0000-0000-00009637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2" xfId="814" xr:uid="{00000000-0005-0000-0000-0000AA37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2" xfId="816" xr:uid="{00000000-0005-0000-0000-0000BE37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2" xfId="818" xr:uid="{00000000-0005-0000-0000-0000D237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2" xfId="2946" xr:uid="{00000000-0005-0000-0000-0000E9370000}"/>
    <cellStyle name="SAPBEXHLevel0 10 2 2" xfId="4562" xr:uid="{00000000-0005-0000-0000-0000EA370000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3" xfId="2945" xr:uid="{00000000-0005-0000-0000-000001380000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2" xfId="2947" xr:uid="{00000000-0005-0000-0000-000023380000}"/>
    <cellStyle name="SAPBEXHLevel0 11 2 2" xfId="4560" xr:uid="{00000000-0005-0000-0000-000024380000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3" xfId="4561" xr:uid="{00000000-0005-0000-0000-00003B380000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2" xfId="4559" xr:uid="{00000000-0005-0000-0000-000054380000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3" xfId="2949" xr:uid="{00000000-0005-0000-0000-00006B380000}"/>
    <cellStyle name="SAPBEXHLevel0 13 2" xfId="4558" xr:uid="{00000000-0005-0000-0000-00006C380000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4" xfId="2950" xr:uid="{00000000-0005-0000-0000-000083380000}"/>
    <cellStyle name="SAPBEXHLevel0 14 2" xfId="4557" xr:uid="{00000000-0005-0000-0000-000084380000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5" xfId="2951" xr:uid="{00000000-0005-0000-0000-00009B380000}"/>
    <cellStyle name="SAPBEXHLevel0 15 2" xfId="4556" xr:uid="{00000000-0005-0000-0000-00009C380000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6" xfId="2952" xr:uid="{00000000-0005-0000-0000-0000B3380000}"/>
    <cellStyle name="SAPBEXHLevel0 16 2" xfId="4555" xr:uid="{00000000-0005-0000-0000-0000B4380000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7" xfId="2953" xr:uid="{00000000-0005-0000-0000-0000CB380000}"/>
    <cellStyle name="SAPBEXHLevel0 17 2" xfId="4554" xr:uid="{00000000-0005-0000-0000-0000CC380000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8" xfId="2954" xr:uid="{00000000-0005-0000-0000-0000E3380000}"/>
    <cellStyle name="SAPBEXHLevel0 18 2" xfId="4553" xr:uid="{00000000-0005-0000-0000-0000E4380000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9" xfId="2955" xr:uid="{00000000-0005-0000-0000-0000FB380000}"/>
    <cellStyle name="SAPBEXHLevel0 19 2" xfId="4552" xr:uid="{00000000-0005-0000-0000-0000FC380000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2" xfId="819" xr:uid="{00000000-0005-0000-0000-000013390000}"/>
    <cellStyle name="SAPBEXHLevel0 2 10" xfId="2957" xr:uid="{00000000-0005-0000-0000-000014390000}"/>
    <cellStyle name="SAPBEXHLevel0 2 10 2" xfId="4550" xr:uid="{00000000-0005-0000-0000-00001539000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1" xfId="2958" xr:uid="{00000000-0005-0000-0000-00002C390000}"/>
    <cellStyle name="SAPBEXHLevel0 2 11 2" xfId="4549" xr:uid="{00000000-0005-0000-0000-00002D390000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2" xfId="2959" xr:uid="{00000000-0005-0000-0000-000044390000}"/>
    <cellStyle name="SAPBEXHLevel0 2 12 2" xfId="4548" xr:uid="{00000000-0005-0000-0000-000045390000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3" xfId="2960" xr:uid="{00000000-0005-0000-0000-00005C390000}"/>
    <cellStyle name="SAPBEXHLevel0 2 13 2" xfId="3194" xr:uid="{00000000-0005-0000-0000-00005D390000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4" xfId="2961" xr:uid="{00000000-0005-0000-0000-000074390000}"/>
    <cellStyle name="SAPBEXHLevel0 2 14 2" xfId="2130" xr:uid="{00000000-0005-0000-0000-000075390000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5" xfId="2962" xr:uid="{00000000-0005-0000-0000-00008C390000}"/>
    <cellStyle name="SAPBEXHLevel0 2 15 2" xfId="3268" xr:uid="{00000000-0005-0000-0000-00008D390000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6" xfId="2963" xr:uid="{00000000-0005-0000-0000-0000A4390000}"/>
    <cellStyle name="SAPBEXHLevel0 2 16 2" xfId="3270" xr:uid="{00000000-0005-0000-0000-0000A5390000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7" xfId="2956" xr:uid="{00000000-0005-0000-0000-0000BC390000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2" xfId="821" xr:uid="{00000000-0005-0000-0000-0000DD390000}"/>
    <cellStyle name="SAPBEXHLevel0 2 2 2 10" xfId="5040" xr:uid="{00000000-0005-0000-0000-0000DE390000}"/>
    <cellStyle name="SAPBEXHLevel0 2 2 2 2" xfId="2965" xr:uid="{00000000-0005-0000-0000-0000DF390000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3" xfId="4547" xr:uid="{00000000-0005-0000-0000-0000ED390000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4" xfId="3273" xr:uid="{00000000-0005-0000-0000-0000143A0000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2" xfId="2967" xr:uid="{00000000-0005-0000-0000-0000353A0000}"/>
    <cellStyle name="SAPBEXHLevel0 2 3 2 2" xfId="4545" xr:uid="{00000000-0005-0000-0000-0000363A0000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3" xfId="2966" xr:uid="{00000000-0005-0000-0000-00004D3A0000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2" xfId="2969" xr:uid="{00000000-0005-0000-0000-0000713A0000}"/>
    <cellStyle name="SAPBEXHLevel0 2 4 2 2" xfId="4543" xr:uid="{00000000-0005-0000-0000-0000723A0000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3" xfId="2968" xr:uid="{00000000-0005-0000-0000-0000893A0000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2" xfId="2971" xr:uid="{00000000-0005-0000-0000-0000AB3A0000}"/>
    <cellStyle name="SAPBEXHLevel0 2 5 2 2" xfId="4541" xr:uid="{00000000-0005-0000-0000-0000AC3A0000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3" xfId="4542" xr:uid="{00000000-0005-0000-0000-0000C33A0000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6" xfId="2972" xr:uid="{00000000-0005-0000-0000-0000DA3A0000}"/>
    <cellStyle name="SAPBEXHLevel0 2 6 2" xfId="2973" xr:uid="{00000000-0005-0000-0000-0000DB3A0000}"/>
    <cellStyle name="SAPBEXHLevel0 2 6 2 2" xfId="4539" xr:uid="{00000000-0005-0000-0000-0000DC3A0000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3" xfId="4540" xr:uid="{00000000-0005-0000-0000-0000F33A0000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7" xfId="2974" xr:uid="{00000000-0005-0000-0000-00000A3B0000}"/>
    <cellStyle name="SAPBEXHLevel0 2 7 2" xfId="2975" xr:uid="{00000000-0005-0000-0000-00000B3B0000}"/>
    <cellStyle name="SAPBEXHLevel0 2 7 2 2" xfId="4537" xr:uid="{00000000-0005-0000-0000-00000C3B0000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3" xfId="4538" xr:uid="{00000000-0005-0000-0000-0000233B0000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8" xfId="2976" xr:uid="{00000000-0005-0000-0000-00003A3B0000}"/>
    <cellStyle name="SAPBEXHLevel0 2 8 2" xfId="4536" xr:uid="{00000000-0005-0000-0000-00003B3B0000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9" xfId="2977" xr:uid="{00000000-0005-0000-0000-0000523B0000}"/>
    <cellStyle name="SAPBEXHLevel0 2 9 2" xfId="4535" xr:uid="{00000000-0005-0000-0000-0000533B0000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0" xfId="2978" xr:uid="{00000000-0005-0000-0000-00006A3B0000}"/>
    <cellStyle name="SAPBEXHLevel0 20 2" xfId="4534" xr:uid="{00000000-0005-0000-0000-00006B3B0000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1" xfId="2126" xr:uid="{00000000-0005-0000-0000-0000823B0000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2" xfId="5257" xr:uid="{00000000-0005-0000-0000-00008F3B0000}"/>
    <cellStyle name="SAPBEXHLevel0 22 2" xfId="22568" xr:uid="{00000000-0005-0000-0000-0000903B0000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3" xfId="822" xr:uid="{00000000-0005-0000-0000-0000993B0000}"/>
    <cellStyle name="SAPBEXHLevel0 3 10" xfId="2979" xr:uid="{00000000-0005-0000-0000-00009A3B0000}"/>
    <cellStyle name="SAPBEXHLevel0 3 10 2" xfId="4532" xr:uid="{00000000-0005-0000-0000-00009B3B0000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1" xfId="2980" xr:uid="{00000000-0005-0000-0000-0000B23B0000}"/>
    <cellStyle name="SAPBEXHLevel0 3 11 2" xfId="4531" xr:uid="{00000000-0005-0000-0000-0000B33B0000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2" xfId="2981" xr:uid="{00000000-0005-0000-0000-0000CA3B0000}"/>
    <cellStyle name="SAPBEXHLevel0 3 12 2" xfId="4530" xr:uid="{00000000-0005-0000-0000-0000CB3B000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3" xfId="2982" xr:uid="{00000000-0005-0000-0000-0000E23B0000}"/>
    <cellStyle name="SAPBEXHLevel0 3 13 2" xfId="4529" xr:uid="{00000000-0005-0000-0000-0000E33B0000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4" xfId="2983" xr:uid="{00000000-0005-0000-0000-0000FA3B0000}"/>
    <cellStyle name="SAPBEXHLevel0 3 14 2" xfId="4528" xr:uid="{00000000-0005-0000-0000-0000FB3B0000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5" xfId="2984" xr:uid="{00000000-0005-0000-0000-0000123C0000}"/>
    <cellStyle name="SAPBEXHLevel0 3 15 2" xfId="4527" xr:uid="{00000000-0005-0000-0000-0000133C0000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6" xfId="2985" xr:uid="{00000000-0005-0000-0000-00002A3C0000}"/>
    <cellStyle name="SAPBEXHLevel0 3 16 2" xfId="4526" xr:uid="{00000000-0005-0000-0000-00002B3C000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7" xfId="4533" xr:uid="{00000000-0005-0000-0000-0000423C0000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2" xfId="2987" xr:uid="{00000000-0005-0000-0000-0000543C0000}"/>
    <cellStyle name="SAPBEXHLevel0 3 2 2 2" xfId="3297" xr:uid="{00000000-0005-0000-0000-0000553C0000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3" xfId="4525" xr:uid="{00000000-0005-0000-0000-00006C3C0000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3" xfId="2988" xr:uid="{00000000-0005-0000-0000-00008A3C0000}"/>
    <cellStyle name="SAPBEXHLevel0 3 3 2" xfId="2989" xr:uid="{00000000-0005-0000-0000-00008B3C0000}"/>
    <cellStyle name="SAPBEXHLevel0 3 3 2 2" xfId="4523" xr:uid="{00000000-0005-0000-0000-00008C3C0000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3" xfId="4524" xr:uid="{00000000-0005-0000-0000-0000A33C0000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4" xfId="2990" xr:uid="{00000000-0005-0000-0000-0000BA3C0000}"/>
    <cellStyle name="SAPBEXHLevel0 3 4 2" xfId="2991" xr:uid="{00000000-0005-0000-0000-0000BB3C0000}"/>
    <cellStyle name="SAPBEXHLevel0 3 4 2 2" xfId="4521" xr:uid="{00000000-0005-0000-0000-0000BC3C000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3" xfId="4522" xr:uid="{00000000-0005-0000-0000-0000D33C0000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5" xfId="2992" xr:uid="{00000000-0005-0000-0000-0000EA3C0000}"/>
    <cellStyle name="SAPBEXHLevel0 3 5 2" xfId="2993" xr:uid="{00000000-0005-0000-0000-0000EB3C0000}"/>
    <cellStyle name="SAPBEXHLevel0 3 5 2 2" xfId="4519" xr:uid="{00000000-0005-0000-0000-0000EC3C0000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3" xfId="4520" xr:uid="{00000000-0005-0000-0000-0000033D0000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6" xfId="2994" xr:uid="{00000000-0005-0000-0000-00001A3D0000}"/>
    <cellStyle name="SAPBEXHLevel0 3 6 2" xfId="2995" xr:uid="{00000000-0005-0000-0000-00001B3D0000}"/>
    <cellStyle name="SAPBEXHLevel0 3 6 2 2" xfId="4517" xr:uid="{00000000-0005-0000-0000-00001C3D0000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3" xfId="4518" xr:uid="{00000000-0005-0000-0000-0000333D0000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7" xfId="2996" xr:uid="{00000000-0005-0000-0000-00004A3D0000}"/>
    <cellStyle name="SAPBEXHLevel0 3 7 2" xfId="2997" xr:uid="{00000000-0005-0000-0000-00004B3D0000}"/>
    <cellStyle name="SAPBEXHLevel0 3 7 2 2" xfId="4515" xr:uid="{00000000-0005-0000-0000-00004C3D0000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3" xfId="4516" xr:uid="{00000000-0005-0000-0000-0000633D0000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8" xfId="2998" xr:uid="{00000000-0005-0000-0000-00007A3D0000}"/>
    <cellStyle name="SAPBEXHLevel0 3 8 2" xfId="4514" xr:uid="{00000000-0005-0000-0000-00007B3D0000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9" xfId="2999" xr:uid="{00000000-0005-0000-0000-0000923D0000}"/>
    <cellStyle name="SAPBEXHLevel0 3 9 2" xfId="4513" xr:uid="{00000000-0005-0000-0000-0000933D0000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4" xfId="823" xr:uid="{00000000-0005-0000-0000-0000AA3D0000}"/>
    <cellStyle name="SAPBEXHLevel0 4 10" xfId="3001" xr:uid="{00000000-0005-0000-0000-0000AB3D0000}"/>
    <cellStyle name="SAPBEXHLevel0 4 10 2" xfId="4511" xr:uid="{00000000-0005-0000-0000-0000AC3D0000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1" xfId="3002" xr:uid="{00000000-0005-0000-0000-0000C33D0000}"/>
    <cellStyle name="SAPBEXHLevel0 4 11 2" xfId="4510" xr:uid="{00000000-0005-0000-0000-0000C43D0000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2" xfId="3003" xr:uid="{00000000-0005-0000-0000-0000DB3D0000}"/>
    <cellStyle name="SAPBEXHLevel0 4 12 2" xfId="4509" xr:uid="{00000000-0005-0000-0000-0000DC3D0000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3" xfId="3004" xr:uid="{00000000-0005-0000-0000-0000F33D0000}"/>
    <cellStyle name="SAPBEXHLevel0 4 13 2" xfId="4508" xr:uid="{00000000-0005-0000-0000-0000F43D0000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4" xfId="3005" xr:uid="{00000000-0005-0000-0000-00000B3E0000}"/>
    <cellStyle name="SAPBEXHLevel0 4 14 2" xfId="4507" xr:uid="{00000000-0005-0000-0000-00000C3E0000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5" xfId="3006" xr:uid="{00000000-0005-0000-0000-0000233E0000}"/>
    <cellStyle name="SAPBEXHLevel0 4 15 2" xfId="4506" xr:uid="{00000000-0005-0000-0000-0000243E0000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6" xfId="3007" xr:uid="{00000000-0005-0000-0000-00003B3E0000}"/>
    <cellStyle name="SAPBEXHLevel0 4 16 2" xfId="4505" xr:uid="{00000000-0005-0000-0000-00003C3E0000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7" xfId="3000" xr:uid="{00000000-0005-0000-0000-0000533E0000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2" xfId="3009" xr:uid="{00000000-0005-0000-0000-0000753E0000}"/>
    <cellStyle name="SAPBEXHLevel0 4 2 2 2" xfId="4503" xr:uid="{00000000-0005-0000-0000-0000763E0000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3" xfId="3008" xr:uid="{00000000-0005-0000-0000-00008D3E0000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4" xfId="4504" xr:uid="{00000000-0005-0000-0000-00009B3E0000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2" xfId="3011" xr:uid="{00000000-0005-0000-0000-0000C33E0000}"/>
    <cellStyle name="SAPBEXHLevel0 4 3 2 2" xfId="3305" xr:uid="{00000000-0005-0000-0000-0000C43E0000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3" xfId="3010" xr:uid="{00000000-0005-0000-0000-0000DB3E0000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2" xfId="3013" xr:uid="{00000000-0005-0000-0000-0000013F0000}"/>
    <cellStyle name="SAPBEXHLevel0 4 4 2 2" xfId="4500" xr:uid="{00000000-0005-0000-0000-0000023F0000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3" xfId="4501" xr:uid="{00000000-0005-0000-0000-0000193F0000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5" xfId="3014" xr:uid="{00000000-0005-0000-0000-0000303F0000}"/>
    <cellStyle name="SAPBEXHLevel0 4 5 2" xfId="3015" xr:uid="{00000000-0005-0000-0000-0000313F0000}"/>
    <cellStyle name="SAPBEXHLevel0 4 5 2 2" xfId="4498" xr:uid="{00000000-0005-0000-0000-0000323F0000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3" xfId="4499" xr:uid="{00000000-0005-0000-0000-0000493F0000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6" xfId="3016" xr:uid="{00000000-0005-0000-0000-0000603F0000}"/>
    <cellStyle name="SAPBEXHLevel0 4 6 2" xfId="3017" xr:uid="{00000000-0005-0000-0000-0000613F0000}"/>
    <cellStyle name="SAPBEXHLevel0 4 6 2 2" xfId="4496" xr:uid="{00000000-0005-0000-0000-0000623F0000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3" xfId="4497" xr:uid="{00000000-0005-0000-0000-0000793F0000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7" xfId="3018" xr:uid="{00000000-0005-0000-0000-0000903F0000}"/>
    <cellStyle name="SAPBEXHLevel0 4 7 2" xfId="3019" xr:uid="{00000000-0005-0000-0000-0000913F0000}"/>
    <cellStyle name="SAPBEXHLevel0 4 7 2 2" xfId="4494" xr:uid="{00000000-0005-0000-0000-0000923F0000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3" xfId="4495" xr:uid="{00000000-0005-0000-0000-0000A93F0000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8" xfId="3020" xr:uid="{00000000-0005-0000-0000-0000C03F0000}"/>
    <cellStyle name="SAPBEXHLevel0 4 8 2" xfId="4493" xr:uid="{00000000-0005-0000-0000-0000C13F0000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9" xfId="3021" xr:uid="{00000000-0005-0000-0000-0000D83F0000}"/>
    <cellStyle name="SAPBEXHLevel0 4 9 2" xfId="4492" xr:uid="{00000000-0005-0000-0000-0000D93F0000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5" xfId="826" xr:uid="{00000000-0005-0000-0000-0000F03F0000}"/>
    <cellStyle name="SAPBEXHLevel0 5 10" xfId="3023" xr:uid="{00000000-0005-0000-0000-0000F13F0000}"/>
    <cellStyle name="SAPBEXHLevel0 5 10 2" xfId="4490" xr:uid="{00000000-0005-0000-0000-0000F23F0000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1" xfId="3024" xr:uid="{00000000-0005-0000-0000-000009400000}"/>
    <cellStyle name="SAPBEXHLevel0 5 11 2" xfId="4489" xr:uid="{00000000-0005-0000-0000-00000A400000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2" xfId="3025" xr:uid="{00000000-0005-0000-0000-000021400000}"/>
    <cellStyle name="SAPBEXHLevel0 5 12 2" xfId="4488" xr:uid="{00000000-0005-0000-0000-000022400000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3" xfId="3026" xr:uid="{00000000-0005-0000-0000-000039400000}"/>
    <cellStyle name="SAPBEXHLevel0 5 13 2" xfId="4487" xr:uid="{00000000-0005-0000-0000-00003A40000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4" xfId="3027" xr:uid="{00000000-0005-0000-0000-000051400000}"/>
    <cellStyle name="SAPBEXHLevel0 5 14 2" xfId="4486" xr:uid="{00000000-0005-0000-0000-000052400000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5" xfId="3028" xr:uid="{00000000-0005-0000-0000-000069400000}"/>
    <cellStyle name="SAPBEXHLevel0 5 15 2" xfId="4485" xr:uid="{00000000-0005-0000-0000-00006A400000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6" xfId="3029" xr:uid="{00000000-0005-0000-0000-000081400000}"/>
    <cellStyle name="SAPBEXHLevel0 5 16 2" xfId="4484" xr:uid="{00000000-0005-0000-0000-000082400000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7" xfId="3022" xr:uid="{00000000-0005-0000-0000-000099400000}"/>
    <cellStyle name="SAPBEXHLevel0 5 17 2" xfId="8193" xr:uid="{00000000-0005-0000-0000-00009A400000}"/>
    <cellStyle name="SAPBEXHLevel0 5 17 2 2" xfId="24222" xr:uid="{00000000-0005-0000-0000-00009B400000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8" xfId="4491" xr:uid="{00000000-0005-0000-0000-0000A7400000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2" xfId="3031" xr:uid="{00000000-0005-0000-0000-0000B9400000}"/>
    <cellStyle name="SAPBEXHLevel0 5 2 2 2" xfId="4482" xr:uid="{00000000-0005-0000-0000-0000BA400000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3" xfId="3030" xr:uid="{00000000-0005-0000-0000-0000D1400000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3" xfId="3032" xr:uid="{00000000-0005-0000-0000-0000F9400000}"/>
    <cellStyle name="SAPBEXHLevel0 5 3 10" xfId="37914" xr:uid="{00000000-0005-0000-0000-0000FA400000}"/>
    <cellStyle name="SAPBEXHLevel0 5 3 2" xfId="3033" xr:uid="{00000000-0005-0000-0000-0000FB400000}"/>
    <cellStyle name="SAPBEXHLevel0 5 3 2 2" xfId="4480" xr:uid="{00000000-0005-0000-0000-0000FC400000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3" xfId="4481" xr:uid="{00000000-0005-0000-0000-000013410000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4" xfId="3034" xr:uid="{00000000-0005-0000-0000-00002B410000}"/>
    <cellStyle name="SAPBEXHLevel0 5 4 2" xfId="3035" xr:uid="{00000000-0005-0000-0000-00002C410000}"/>
    <cellStyle name="SAPBEXHLevel0 5 4 2 2" xfId="3344" xr:uid="{00000000-0005-0000-0000-00002D410000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3" xfId="4479" xr:uid="{00000000-0005-0000-0000-000044410000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5" xfId="3036" xr:uid="{00000000-0005-0000-0000-00005B410000}"/>
    <cellStyle name="SAPBEXHLevel0 5 5 2" xfId="3037" xr:uid="{00000000-0005-0000-0000-00005C410000}"/>
    <cellStyle name="SAPBEXHLevel0 5 5 2 2" xfId="4478" xr:uid="{00000000-0005-0000-0000-00005D410000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3" xfId="3345" xr:uid="{00000000-0005-0000-0000-000074410000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6" xfId="3038" xr:uid="{00000000-0005-0000-0000-00008B410000}"/>
    <cellStyle name="SAPBEXHLevel0 5 6 2" xfId="3039" xr:uid="{00000000-0005-0000-0000-00008C410000}"/>
    <cellStyle name="SAPBEXHLevel0 5 6 2 2" xfId="4476" xr:uid="{00000000-0005-0000-0000-00008D410000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3" xfId="4477" xr:uid="{00000000-0005-0000-0000-0000A4410000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7" xfId="3040" xr:uid="{00000000-0005-0000-0000-0000BB410000}"/>
    <cellStyle name="SAPBEXHLevel0 5 7 2" xfId="3041" xr:uid="{00000000-0005-0000-0000-0000BC410000}"/>
    <cellStyle name="SAPBEXHLevel0 5 7 2 2" xfId="4474" xr:uid="{00000000-0005-0000-0000-0000BD41000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3" xfId="4475" xr:uid="{00000000-0005-0000-0000-0000D4410000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8" xfId="3042" xr:uid="{00000000-0005-0000-0000-0000EB410000}"/>
    <cellStyle name="SAPBEXHLevel0 5 8 2" xfId="4473" xr:uid="{00000000-0005-0000-0000-0000EC410000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9" xfId="3043" xr:uid="{00000000-0005-0000-0000-000003420000}"/>
    <cellStyle name="SAPBEXHLevel0 5 9 2" xfId="4472" xr:uid="{00000000-0005-0000-0000-000004420000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2" xfId="829" xr:uid="{00000000-0005-0000-0000-00001E420000}"/>
    <cellStyle name="SAPBEXHLevel0 6 2 10" xfId="22456" xr:uid="{00000000-0005-0000-0000-00001F420000}"/>
    <cellStyle name="SAPBEXHLevel0 6 2 2" xfId="3045" xr:uid="{00000000-0005-0000-0000-000020420000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2" xfId="8215" xr:uid="{00000000-0005-0000-0000-000043420000}"/>
    <cellStyle name="SAPBEXHLevel0 6 3 2 2" xfId="24244" xr:uid="{00000000-0005-0000-0000-000044420000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4" xfId="4471" xr:uid="{00000000-0005-0000-0000-000050420000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2" xfId="831" xr:uid="{00000000-0005-0000-0000-000066420000}"/>
    <cellStyle name="SAPBEXHLevel0 7 2 10" xfId="22458" xr:uid="{00000000-0005-0000-0000-000067420000}"/>
    <cellStyle name="SAPBEXHLevel0 7 2 2" xfId="3047" xr:uid="{00000000-0005-0000-0000-000068420000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2" xfId="8217" xr:uid="{00000000-0005-0000-0000-00008B420000}"/>
    <cellStyle name="SAPBEXHLevel0 7 3 2 2" xfId="24246" xr:uid="{00000000-0005-0000-0000-00008C420000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4" xfId="4469" xr:uid="{00000000-0005-0000-0000-000098420000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2" xfId="833" xr:uid="{00000000-0005-0000-0000-0000AE420000}"/>
    <cellStyle name="SAPBEXHLevel0 8 2 10" xfId="22460" xr:uid="{00000000-0005-0000-0000-0000AF420000}"/>
    <cellStyle name="SAPBEXHLevel0 8 2 2" xfId="3049" xr:uid="{00000000-0005-0000-0000-0000B0420000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2" xfId="8219" xr:uid="{00000000-0005-0000-0000-0000D3420000}"/>
    <cellStyle name="SAPBEXHLevel0 8 3 2 2" xfId="24248" xr:uid="{00000000-0005-0000-0000-0000D4420000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4" xfId="4467" xr:uid="{00000000-0005-0000-0000-0000E042000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2" xfId="3051" xr:uid="{00000000-0005-0000-0000-0000F6420000}"/>
    <cellStyle name="SAPBEXHLevel0 9 2 2" xfId="4464" xr:uid="{00000000-0005-0000-0000-0000F7420000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3" xfId="3050" xr:uid="{00000000-0005-0000-0000-00000E430000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2" xfId="3052" xr:uid="{00000000-0005-0000-0000-000032430000}"/>
    <cellStyle name="SAPBEXHLevel0X 10 2 2" xfId="4462" xr:uid="{00000000-0005-0000-0000-000033430000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3" xfId="4463" xr:uid="{00000000-0005-0000-0000-00004A430000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1" xfId="1859" xr:uid="{00000000-0005-0000-0000-000061430000}"/>
    <cellStyle name="SAPBEXHLevel0X 11 2" xfId="3053" xr:uid="{00000000-0005-0000-0000-000062430000}"/>
    <cellStyle name="SAPBEXHLevel0X 11 2 2" xfId="4460" xr:uid="{00000000-0005-0000-0000-000063430000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3" xfId="4461" xr:uid="{00000000-0005-0000-0000-00007A430000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2" xfId="4459" xr:uid="{00000000-0005-0000-0000-000093430000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3" xfId="3056" xr:uid="{00000000-0005-0000-0000-0000AA430000}"/>
    <cellStyle name="SAPBEXHLevel0X 13 2" xfId="4458" xr:uid="{00000000-0005-0000-0000-0000AB430000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4" xfId="3057" xr:uid="{00000000-0005-0000-0000-0000C2430000}"/>
    <cellStyle name="SAPBEXHLevel0X 14 2" xfId="2131" xr:uid="{00000000-0005-0000-0000-0000C3430000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5" xfId="3058" xr:uid="{00000000-0005-0000-0000-0000DA430000}"/>
    <cellStyle name="SAPBEXHLevel0X 15 2" xfId="4457" xr:uid="{00000000-0005-0000-0000-0000DB430000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6" xfId="3059" xr:uid="{00000000-0005-0000-0000-0000F2430000}"/>
    <cellStyle name="SAPBEXHLevel0X 16 2" xfId="4456" xr:uid="{00000000-0005-0000-0000-0000F343000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7" xfId="3060" xr:uid="{00000000-0005-0000-0000-00000A440000}"/>
    <cellStyle name="SAPBEXHLevel0X 17 2" xfId="4455" xr:uid="{00000000-0005-0000-0000-00000B440000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8" xfId="3061" xr:uid="{00000000-0005-0000-0000-000022440000}"/>
    <cellStyle name="SAPBEXHLevel0X 18 2" xfId="4454" xr:uid="{00000000-0005-0000-0000-000023440000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9" xfId="3062" xr:uid="{00000000-0005-0000-0000-00003A440000}"/>
    <cellStyle name="SAPBEXHLevel0X 19 2" xfId="4453" xr:uid="{00000000-0005-0000-0000-00003B440000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2" xfId="835" xr:uid="{00000000-0005-0000-0000-000052440000}"/>
    <cellStyle name="SAPBEXHLevel0X 2 10" xfId="3064" xr:uid="{00000000-0005-0000-0000-000053440000}"/>
    <cellStyle name="SAPBEXHLevel0X 2 10 2" xfId="4451" xr:uid="{00000000-0005-0000-0000-000054440000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1" xfId="3065" xr:uid="{00000000-0005-0000-0000-00006B440000}"/>
    <cellStyle name="SAPBEXHLevel0X 2 11 2" xfId="4450" xr:uid="{00000000-0005-0000-0000-00006C440000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2" xfId="3066" xr:uid="{00000000-0005-0000-0000-000083440000}"/>
    <cellStyle name="SAPBEXHLevel0X 2 12 2" xfId="4449" xr:uid="{00000000-0005-0000-0000-000084440000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3" xfId="3067" xr:uid="{00000000-0005-0000-0000-00009B440000}"/>
    <cellStyle name="SAPBEXHLevel0X 2 13 2" xfId="4448" xr:uid="{00000000-0005-0000-0000-00009C440000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4" xfId="3068" xr:uid="{00000000-0005-0000-0000-0000B3440000}"/>
    <cellStyle name="SAPBEXHLevel0X 2 14 2" xfId="4447" xr:uid="{00000000-0005-0000-0000-0000B4440000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5" xfId="3069" xr:uid="{00000000-0005-0000-0000-0000CB440000}"/>
    <cellStyle name="SAPBEXHLevel0X 2 15 2" xfId="4446" xr:uid="{00000000-0005-0000-0000-0000CC440000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6" xfId="3070" xr:uid="{00000000-0005-0000-0000-0000E3440000}"/>
    <cellStyle name="SAPBEXHLevel0X 2 16 2" xfId="4445" xr:uid="{00000000-0005-0000-0000-0000E4440000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7" xfId="3063" xr:uid="{00000000-0005-0000-0000-0000FB440000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2" xfId="837" xr:uid="{00000000-0005-0000-0000-00001C450000}"/>
    <cellStyle name="SAPBEXHLevel0X 2 2 2 10" xfId="5046" xr:uid="{00000000-0005-0000-0000-00001D450000}"/>
    <cellStyle name="SAPBEXHLevel0X 2 2 2 2" xfId="3072" xr:uid="{00000000-0005-0000-0000-00001E450000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3" xfId="4443" xr:uid="{00000000-0005-0000-0000-00002C450000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4" xfId="4444" xr:uid="{00000000-0005-0000-0000-000053450000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3" xfId="3073" xr:uid="{00000000-0005-0000-0000-000076450000}"/>
    <cellStyle name="SAPBEXHLevel0X 2 3 2" xfId="3074" xr:uid="{00000000-0005-0000-0000-000077450000}"/>
    <cellStyle name="SAPBEXHLevel0X 2 3 2 2" xfId="4441" xr:uid="{00000000-0005-0000-0000-000078450000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3" xfId="4442" xr:uid="{00000000-0005-0000-0000-00008F450000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4" xfId="3075" xr:uid="{00000000-0005-0000-0000-0000A6450000}"/>
    <cellStyle name="SAPBEXHLevel0X 2 4 2" xfId="3076" xr:uid="{00000000-0005-0000-0000-0000A7450000}"/>
    <cellStyle name="SAPBEXHLevel0X 2 4 2 2" xfId="4439" xr:uid="{00000000-0005-0000-0000-0000A8450000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3" xfId="4440" xr:uid="{00000000-0005-0000-0000-0000BF450000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5" xfId="3077" xr:uid="{00000000-0005-0000-0000-0000D6450000}"/>
    <cellStyle name="SAPBEXHLevel0X 2 5 2" xfId="3078" xr:uid="{00000000-0005-0000-0000-0000D7450000}"/>
    <cellStyle name="SAPBEXHLevel0X 2 5 2 2" xfId="4437" xr:uid="{00000000-0005-0000-0000-0000D8450000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3" xfId="4438" xr:uid="{00000000-0005-0000-0000-0000EF450000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6" xfId="3079" xr:uid="{00000000-0005-0000-0000-000006460000}"/>
    <cellStyle name="SAPBEXHLevel0X 2 6 2" xfId="3080" xr:uid="{00000000-0005-0000-0000-000007460000}"/>
    <cellStyle name="SAPBEXHLevel0X 2 6 2 2" xfId="4435" xr:uid="{00000000-0005-0000-0000-000008460000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3" xfId="4436" xr:uid="{00000000-0005-0000-0000-00001F460000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7" xfId="3081" xr:uid="{00000000-0005-0000-0000-000036460000}"/>
    <cellStyle name="SAPBEXHLevel0X 2 7 2" xfId="3082" xr:uid="{00000000-0005-0000-0000-000037460000}"/>
    <cellStyle name="SAPBEXHLevel0X 2 7 2 2" xfId="4434" xr:uid="{00000000-0005-0000-0000-0000384600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3" xfId="3347" xr:uid="{00000000-0005-0000-0000-00004F460000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8" xfId="3083" xr:uid="{00000000-0005-0000-0000-000066460000}"/>
    <cellStyle name="SAPBEXHLevel0X 2 8 2" xfId="4433" xr:uid="{00000000-0005-0000-0000-000067460000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9" xfId="3084" xr:uid="{00000000-0005-0000-0000-00007E460000}"/>
    <cellStyle name="SAPBEXHLevel0X 2 9 2" xfId="4432" xr:uid="{00000000-0005-0000-0000-00007F460000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0" xfId="3085" xr:uid="{00000000-0005-0000-0000-000096460000}"/>
    <cellStyle name="SAPBEXHLevel0X 20 2" xfId="4431" xr:uid="{00000000-0005-0000-0000-000097460000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1" xfId="4901" xr:uid="{00000000-0005-0000-0000-0000AE46000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2" xfId="5996" xr:uid="{00000000-0005-0000-0000-0000BB460000}"/>
    <cellStyle name="SAPBEXHLevel0X 22 2" xfId="22965" xr:uid="{00000000-0005-0000-0000-0000BC460000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3" xfId="838" xr:uid="{00000000-0005-0000-0000-0000C5460000}"/>
    <cellStyle name="SAPBEXHLevel0X 3 10" xfId="3086" xr:uid="{00000000-0005-0000-0000-0000C6460000}"/>
    <cellStyle name="SAPBEXHLevel0X 3 10 2" xfId="4429" xr:uid="{00000000-0005-0000-0000-0000C7460000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1" xfId="3087" xr:uid="{00000000-0005-0000-0000-0000DE460000}"/>
    <cellStyle name="SAPBEXHLevel0X 3 11 2" xfId="4428" xr:uid="{00000000-0005-0000-0000-0000DF460000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2" xfId="3088" xr:uid="{00000000-0005-0000-0000-0000F6460000}"/>
    <cellStyle name="SAPBEXHLevel0X 3 12 2" xfId="4427" xr:uid="{00000000-0005-0000-0000-0000F7460000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3" xfId="3089" xr:uid="{00000000-0005-0000-0000-00000E470000}"/>
    <cellStyle name="SAPBEXHLevel0X 3 13 2" xfId="4426" xr:uid="{00000000-0005-0000-0000-00000F470000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4" xfId="3090" xr:uid="{00000000-0005-0000-0000-000026470000}"/>
    <cellStyle name="SAPBEXHLevel0X 3 14 2" xfId="4425" xr:uid="{00000000-0005-0000-0000-000027470000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5" xfId="3091" xr:uid="{00000000-0005-0000-0000-00003E470000}"/>
    <cellStyle name="SAPBEXHLevel0X 3 15 2" xfId="4424" xr:uid="{00000000-0005-0000-0000-00003F470000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6" xfId="3092" xr:uid="{00000000-0005-0000-0000-000056470000}"/>
    <cellStyle name="SAPBEXHLevel0X 3 16 2" xfId="4423" xr:uid="{00000000-0005-0000-0000-000057470000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7" xfId="4430" xr:uid="{00000000-0005-0000-0000-00006E470000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8" xfId="5428" xr:uid="{00000000-0005-0000-0000-00007B470000}"/>
    <cellStyle name="SAPBEXHLevel0X 3 18 2" xfId="22678" xr:uid="{00000000-0005-0000-0000-00007C470000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2" xfId="3094" xr:uid="{00000000-0005-0000-0000-000083470000}"/>
    <cellStyle name="SAPBEXHLevel0X 3 2 2 2" xfId="4421" xr:uid="{00000000-0005-0000-0000-000084470000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3" xfId="3093" xr:uid="{00000000-0005-0000-0000-00009B470000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4" xfId="4422" xr:uid="{00000000-0005-0000-0000-0000A9470000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3" xfId="2017" xr:uid="{00000000-0005-0000-0000-0000CA470000}"/>
    <cellStyle name="SAPBEXHLevel0X 3 3 2" xfId="3095" xr:uid="{00000000-0005-0000-0000-0000CB470000}"/>
    <cellStyle name="SAPBEXHLevel0X 3 3 2 2" xfId="4419" xr:uid="{00000000-0005-0000-0000-0000CC470000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3" xfId="4420" xr:uid="{00000000-0005-0000-0000-0000E347000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2" xfId="3097" xr:uid="{00000000-0005-0000-0000-0000FC470000}"/>
    <cellStyle name="SAPBEXHLevel0X 3 4 2 2" xfId="4417" xr:uid="{00000000-0005-0000-0000-0000FD470000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3" xfId="4418" xr:uid="{00000000-0005-0000-0000-000014480000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5" xfId="3098" xr:uid="{00000000-0005-0000-0000-00002B480000}"/>
    <cellStyle name="SAPBEXHLevel0X 3 5 2" xfId="3099" xr:uid="{00000000-0005-0000-0000-00002C480000}"/>
    <cellStyle name="SAPBEXHLevel0X 3 5 2 2" xfId="4415" xr:uid="{00000000-0005-0000-0000-00002D480000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3" xfId="4416" xr:uid="{00000000-0005-0000-0000-000044480000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6" xfId="3100" xr:uid="{00000000-0005-0000-0000-00005B480000}"/>
    <cellStyle name="SAPBEXHLevel0X 3 6 2" xfId="3101" xr:uid="{00000000-0005-0000-0000-00005C480000}"/>
    <cellStyle name="SAPBEXHLevel0X 3 6 2 2" xfId="4413" xr:uid="{00000000-0005-0000-0000-00005D480000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3" xfId="4414" xr:uid="{00000000-0005-0000-0000-000074480000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7" xfId="3102" xr:uid="{00000000-0005-0000-0000-00008B480000}"/>
    <cellStyle name="SAPBEXHLevel0X 3 7 2" xfId="3103" xr:uid="{00000000-0005-0000-0000-00008C480000}"/>
    <cellStyle name="SAPBEXHLevel0X 3 7 2 2" xfId="3348" xr:uid="{00000000-0005-0000-0000-00008D480000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3" xfId="4412" xr:uid="{00000000-0005-0000-0000-0000A4480000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8" xfId="3104" xr:uid="{00000000-0005-0000-0000-0000BB480000}"/>
    <cellStyle name="SAPBEXHLevel0X 3 8 2" xfId="3371" xr:uid="{00000000-0005-0000-0000-0000BC480000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9" xfId="3105" xr:uid="{00000000-0005-0000-0000-0000D3480000}"/>
    <cellStyle name="SAPBEXHLevel0X 3 9 2" xfId="4411" xr:uid="{00000000-0005-0000-0000-0000D448000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4" xfId="840" xr:uid="{00000000-0005-0000-0000-0000EB480000}"/>
    <cellStyle name="SAPBEXHLevel0X 4 10" xfId="3107" xr:uid="{00000000-0005-0000-0000-0000EC480000}"/>
    <cellStyle name="SAPBEXHLevel0X 4 10 2" xfId="4409" xr:uid="{00000000-0005-0000-0000-0000ED480000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1" xfId="3108" xr:uid="{00000000-0005-0000-0000-000004490000}"/>
    <cellStyle name="SAPBEXHLevel0X 4 11 2" xfId="4408" xr:uid="{00000000-0005-0000-0000-000005490000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2" xfId="3109" xr:uid="{00000000-0005-0000-0000-00001C490000}"/>
    <cellStyle name="SAPBEXHLevel0X 4 12 2" xfId="4407" xr:uid="{00000000-0005-0000-0000-00001D490000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3" xfId="3110" xr:uid="{00000000-0005-0000-0000-000034490000}"/>
    <cellStyle name="SAPBEXHLevel0X 4 13 2" xfId="4406" xr:uid="{00000000-0005-0000-0000-000035490000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4" xfId="3111" xr:uid="{00000000-0005-0000-0000-00004C490000}"/>
    <cellStyle name="SAPBEXHLevel0X 4 14 2" xfId="4405" xr:uid="{00000000-0005-0000-0000-00004D490000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5" xfId="3112" xr:uid="{00000000-0005-0000-0000-000064490000}"/>
    <cellStyle name="SAPBEXHLevel0X 4 15 2" xfId="4404" xr:uid="{00000000-0005-0000-0000-000065490000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6" xfId="3113" xr:uid="{00000000-0005-0000-0000-00007C490000}"/>
    <cellStyle name="SAPBEXHLevel0X 4 16 2" xfId="4403" xr:uid="{00000000-0005-0000-0000-00007D490000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7" xfId="3106" xr:uid="{00000000-0005-0000-0000-000094490000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8" xfId="4410" xr:uid="{00000000-0005-0000-0000-0000A2490000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2" xfId="3115" xr:uid="{00000000-0005-0000-0000-0000B6490000}"/>
    <cellStyle name="SAPBEXHLevel0X 4 2 2 2" xfId="4401" xr:uid="{00000000-0005-0000-0000-0000B7490000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3" xfId="3114" xr:uid="{00000000-0005-0000-0000-0000CE490000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4" xfId="4402" xr:uid="{00000000-0005-0000-0000-0000DC490000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2" xfId="3117" xr:uid="{00000000-0005-0000-0000-0000044A0000}"/>
    <cellStyle name="SAPBEXHLevel0X 4 3 2 2" xfId="4399" xr:uid="{00000000-0005-0000-0000-0000054A0000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3" xfId="3116" xr:uid="{00000000-0005-0000-0000-00001C4A0000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2" xfId="3119" xr:uid="{00000000-0005-0000-0000-0000424A0000}"/>
    <cellStyle name="SAPBEXHLevel0X 4 4 2 2" xfId="4397" xr:uid="{00000000-0005-0000-0000-0000434A0000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3" xfId="4398" xr:uid="{00000000-0005-0000-0000-00005A4A0000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2" xfId="3121" xr:uid="{00000000-0005-0000-0000-0000734A0000}"/>
    <cellStyle name="SAPBEXHLevel0X 4 5 2 2" xfId="4395" xr:uid="{00000000-0005-0000-0000-0000744A0000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3" xfId="4396" xr:uid="{00000000-0005-0000-0000-00008B4A0000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6" xfId="3122" xr:uid="{00000000-0005-0000-0000-0000A24A0000}"/>
    <cellStyle name="SAPBEXHLevel0X 4 6 2" xfId="3123" xr:uid="{00000000-0005-0000-0000-0000A34A0000}"/>
    <cellStyle name="SAPBEXHLevel0X 4 6 2 2" xfId="4393" xr:uid="{00000000-0005-0000-0000-0000A44A000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3" xfId="4394" xr:uid="{00000000-0005-0000-0000-0000BB4A0000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7" xfId="3124" xr:uid="{00000000-0005-0000-0000-0000D24A0000}"/>
    <cellStyle name="SAPBEXHLevel0X 4 7 2" xfId="3125" xr:uid="{00000000-0005-0000-0000-0000D34A0000}"/>
    <cellStyle name="SAPBEXHLevel0X 4 7 2 2" xfId="4391" xr:uid="{00000000-0005-0000-0000-0000D44A0000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3" xfId="4392" xr:uid="{00000000-0005-0000-0000-0000EB4A0000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8" xfId="3126" xr:uid="{00000000-0005-0000-0000-0000024B0000}"/>
    <cellStyle name="SAPBEXHLevel0X 4 8 2" xfId="4390" xr:uid="{00000000-0005-0000-0000-0000034B0000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9" xfId="3127" xr:uid="{00000000-0005-0000-0000-00001A4B0000}"/>
    <cellStyle name="SAPBEXHLevel0X 4 9 2" xfId="4389" xr:uid="{00000000-0005-0000-0000-00001B4B0000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5" xfId="843" xr:uid="{00000000-0005-0000-0000-0000324B0000}"/>
    <cellStyle name="SAPBEXHLevel0X 5 10" xfId="3129" xr:uid="{00000000-0005-0000-0000-0000334B0000}"/>
    <cellStyle name="SAPBEXHLevel0X 5 10 2" xfId="4388" xr:uid="{00000000-0005-0000-0000-0000344B0000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1" xfId="3130" xr:uid="{00000000-0005-0000-0000-00004B4B0000}"/>
    <cellStyle name="SAPBEXHLevel0X 5 11 2" xfId="4387" xr:uid="{00000000-0005-0000-0000-00004C4B0000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2" xfId="3131" xr:uid="{00000000-0005-0000-0000-0000634B0000}"/>
    <cellStyle name="SAPBEXHLevel0X 5 12 2" xfId="4386" xr:uid="{00000000-0005-0000-0000-0000644B0000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3" xfId="3132" xr:uid="{00000000-0005-0000-0000-00007B4B0000}"/>
    <cellStyle name="SAPBEXHLevel0X 5 13 2" xfId="4385" xr:uid="{00000000-0005-0000-0000-00007C4B0000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4" xfId="3133" xr:uid="{00000000-0005-0000-0000-0000934B0000}"/>
    <cellStyle name="SAPBEXHLevel0X 5 14 2" xfId="4384" xr:uid="{00000000-0005-0000-0000-0000944B0000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5" xfId="3134" xr:uid="{00000000-0005-0000-0000-0000AB4B0000}"/>
    <cellStyle name="SAPBEXHLevel0X 5 15 2" xfId="4383" xr:uid="{00000000-0005-0000-0000-0000AC4B0000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6" xfId="3135" xr:uid="{00000000-0005-0000-0000-0000C34B0000}"/>
    <cellStyle name="SAPBEXHLevel0X 5 16 2" xfId="4382" xr:uid="{00000000-0005-0000-0000-0000C44B0000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7" xfId="3128" xr:uid="{00000000-0005-0000-0000-0000DB4B0000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8" xfId="2132" xr:uid="{00000000-0005-0000-0000-0000E94B0000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2" xfId="3137" xr:uid="{00000000-0005-0000-0000-0000FC4B0000}"/>
    <cellStyle name="SAPBEXHLevel0X 5 2 2 2" xfId="4380" xr:uid="{00000000-0005-0000-0000-0000FD4B0000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3" xfId="3136" xr:uid="{00000000-0005-0000-0000-0000144C0000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3" xfId="3138" xr:uid="{00000000-0005-0000-0000-0000454C0000}"/>
    <cellStyle name="SAPBEXHLevel0X 5 3 2" xfId="3139" xr:uid="{00000000-0005-0000-0000-0000464C0000}"/>
    <cellStyle name="SAPBEXHLevel0X 5 3 2 2" xfId="4378" xr:uid="{00000000-0005-0000-0000-0000474C0000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3" xfId="4379" xr:uid="{00000000-0005-0000-0000-00005E4C000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4" xfId="3140" xr:uid="{00000000-0005-0000-0000-0000764C0000}"/>
    <cellStyle name="SAPBEXHLevel0X 5 4 2" xfId="3141" xr:uid="{00000000-0005-0000-0000-0000774C0000}"/>
    <cellStyle name="SAPBEXHLevel0X 5 4 2 2" xfId="4376" xr:uid="{00000000-0005-0000-0000-0000784C0000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3" xfId="4377" xr:uid="{00000000-0005-0000-0000-00008F4C0000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5" xfId="3142" xr:uid="{00000000-0005-0000-0000-0000A64C0000}"/>
    <cellStyle name="SAPBEXHLevel0X 5 5 2" xfId="3143" xr:uid="{00000000-0005-0000-0000-0000A74C0000}"/>
    <cellStyle name="SAPBEXHLevel0X 5 5 2 2" xfId="4374" xr:uid="{00000000-0005-0000-0000-0000A84C0000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3" xfId="4375" xr:uid="{00000000-0005-0000-0000-0000BF4C000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6" xfId="3144" xr:uid="{00000000-0005-0000-0000-0000D64C0000}"/>
    <cellStyle name="SAPBEXHLevel0X 5 6 2" xfId="3145" xr:uid="{00000000-0005-0000-0000-0000D74C0000}"/>
    <cellStyle name="SAPBEXHLevel0X 5 6 2 2" xfId="4372" xr:uid="{00000000-0005-0000-0000-0000D84C0000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3" xfId="4373" xr:uid="{00000000-0005-0000-0000-0000EF4C000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7" xfId="3146" xr:uid="{00000000-0005-0000-0000-0000064D0000}"/>
    <cellStyle name="SAPBEXHLevel0X 5 7 2" xfId="3147" xr:uid="{00000000-0005-0000-0000-0000074D0000}"/>
    <cellStyle name="SAPBEXHLevel0X 5 7 2 2" xfId="4370" xr:uid="{00000000-0005-0000-0000-0000084D0000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3" xfId="4371" xr:uid="{00000000-0005-0000-0000-00001F4D0000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8" xfId="3148" xr:uid="{00000000-0005-0000-0000-0000364D0000}"/>
    <cellStyle name="SAPBEXHLevel0X 5 8 2" xfId="4369" xr:uid="{00000000-0005-0000-0000-0000374D0000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9" xfId="3149" xr:uid="{00000000-0005-0000-0000-00004E4D0000}"/>
    <cellStyle name="SAPBEXHLevel0X 5 9 2" xfId="4368" xr:uid="{00000000-0005-0000-0000-00004F4D0000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2" xfId="1861" xr:uid="{00000000-0005-0000-0000-00006A4D0000}"/>
    <cellStyle name="SAPBEXHLevel0X 6 2 10" xfId="6088" xr:uid="{00000000-0005-0000-0000-00006B4D0000}"/>
    <cellStyle name="SAPBEXHLevel0X 6 2 2" xfId="3151" xr:uid="{00000000-0005-0000-0000-00006C4D0000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2" xfId="3153" xr:uid="{00000000-0005-0000-0000-0000BC4D0000}"/>
    <cellStyle name="SAPBEXHLevel0X 7 2 2" xfId="4365" xr:uid="{00000000-0005-0000-0000-0000BD4D0000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3" xfId="3152" xr:uid="{00000000-0005-0000-0000-0000D44D0000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2" xfId="3155" xr:uid="{00000000-0005-0000-0000-0000FA4D0000}"/>
    <cellStyle name="SAPBEXHLevel0X 8 2 2" xfId="4363" xr:uid="{00000000-0005-0000-0000-0000FB4D0000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3" xfId="4364" xr:uid="{00000000-0005-0000-0000-0000124E0000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9" xfId="1863" xr:uid="{00000000-0005-0000-0000-0000294E0000}"/>
    <cellStyle name="SAPBEXHLevel0X 9 2" xfId="3157" xr:uid="{00000000-0005-0000-0000-00002A4E0000}"/>
    <cellStyle name="SAPBEXHLevel0X 9 2 2" xfId="4361" xr:uid="{00000000-0005-0000-0000-00002B4E0000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3" xfId="4362" xr:uid="{00000000-0005-0000-0000-0000424E0000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2" xfId="3159" xr:uid="{00000000-0005-0000-0000-00005E4E0000}"/>
    <cellStyle name="SAPBEXHLevel1 10 2 2" xfId="4359" xr:uid="{00000000-0005-0000-0000-00005F4E0000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3" xfId="3158" xr:uid="{00000000-0005-0000-0000-0000764E000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2" xfId="3161" xr:uid="{00000000-0005-0000-0000-0000984E0000}"/>
    <cellStyle name="SAPBEXHLevel1 11 2 2" xfId="4357" xr:uid="{00000000-0005-0000-0000-0000994E0000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3" xfId="4358" xr:uid="{00000000-0005-0000-0000-0000B04E0000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2" xfId="4356" xr:uid="{00000000-0005-0000-0000-0000C94E0000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3" xfId="3164" xr:uid="{00000000-0005-0000-0000-0000E04E0000}"/>
    <cellStyle name="SAPBEXHLevel1 13 2" xfId="4355" xr:uid="{00000000-0005-0000-0000-0000E14E0000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4" xfId="3165" xr:uid="{00000000-0005-0000-0000-0000F84E0000}"/>
    <cellStyle name="SAPBEXHLevel1 14 2" xfId="4354" xr:uid="{00000000-0005-0000-0000-0000F94E0000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5" xfId="3166" xr:uid="{00000000-0005-0000-0000-0000104F0000}"/>
    <cellStyle name="SAPBEXHLevel1 15 2" xfId="4353" xr:uid="{00000000-0005-0000-0000-0000114F0000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6" xfId="3167" xr:uid="{00000000-0005-0000-0000-0000284F0000}"/>
    <cellStyle name="SAPBEXHLevel1 16 2" xfId="4352" xr:uid="{00000000-0005-0000-0000-0000294F0000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7" xfId="3168" xr:uid="{00000000-0005-0000-0000-0000404F0000}"/>
    <cellStyle name="SAPBEXHLevel1 17 2" xfId="4351" xr:uid="{00000000-0005-0000-0000-0000414F0000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8" xfId="3169" xr:uid="{00000000-0005-0000-0000-0000584F0000}"/>
    <cellStyle name="SAPBEXHLevel1 18 2" xfId="4350" xr:uid="{00000000-0005-0000-0000-0000594F0000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9" xfId="3170" xr:uid="{00000000-0005-0000-0000-0000704F0000}"/>
    <cellStyle name="SAPBEXHLevel1 19 2" xfId="4349" xr:uid="{00000000-0005-0000-0000-0000714F0000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2" xfId="847" xr:uid="{00000000-0005-0000-0000-0000884F0000}"/>
    <cellStyle name="SAPBEXHLevel1 2 10" xfId="3172" xr:uid="{00000000-0005-0000-0000-0000894F0000}"/>
    <cellStyle name="SAPBEXHLevel1 2 10 2" xfId="4347" xr:uid="{00000000-0005-0000-0000-00008A4F0000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1" xfId="3173" xr:uid="{00000000-0005-0000-0000-0000A14F0000}"/>
    <cellStyle name="SAPBEXHLevel1 2 11 2" xfId="4346" xr:uid="{00000000-0005-0000-0000-0000A24F0000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2" xfId="3174" xr:uid="{00000000-0005-0000-0000-0000B94F0000}"/>
    <cellStyle name="SAPBEXHLevel1 2 12 2" xfId="4345" xr:uid="{00000000-0005-0000-0000-0000BA4F0000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3" xfId="3175" xr:uid="{00000000-0005-0000-0000-0000D14F0000}"/>
    <cellStyle name="SAPBEXHLevel1 2 13 2" xfId="3421" xr:uid="{00000000-0005-0000-0000-0000D24F0000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4" xfId="3176" xr:uid="{00000000-0005-0000-0000-0000E94F0000}"/>
    <cellStyle name="SAPBEXHLevel1 2 14 2" xfId="3422" xr:uid="{00000000-0005-0000-0000-0000EA4F0000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5" xfId="3177" xr:uid="{00000000-0005-0000-0000-000001500000}"/>
    <cellStyle name="SAPBEXHLevel1 2 15 2" xfId="4344" xr:uid="{00000000-0005-0000-0000-000002500000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6" xfId="3178" xr:uid="{00000000-0005-0000-0000-000019500000}"/>
    <cellStyle name="SAPBEXHLevel1 2 16 2" xfId="4343" xr:uid="{00000000-0005-0000-0000-00001A500000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7" xfId="3171" xr:uid="{00000000-0005-0000-0000-00003150000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2" xfId="849" xr:uid="{00000000-0005-0000-0000-000052500000}"/>
    <cellStyle name="SAPBEXHLevel1 2 2 2 10" xfId="5057" xr:uid="{00000000-0005-0000-0000-000053500000}"/>
    <cellStyle name="SAPBEXHLevel1 2 2 2 2" xfId="3180" xr:uid="{00000000-0005-0000-0000-000054500000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3" xfId="3445" xr:uid="{00000000-0005-0000-0000-000062500000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4" xfId="4342" xr:uid="{00000000-0005-0000-0000-000089500000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2" xfId="3182" xr:uid="{00000000-0005-0000-0000-0000AA500000}"/>
    <cellStyle name="SAPBEXHLevel1 2 3 2 2" xfId="4340" xr:uid="{00000000-0005-0000-0000-0000AB500000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3" xfId="3181" xr:uid="{00000000-0005-0000-0000-0000C2500000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2" xfId="3184" xr:uid="{00000000-0005-0000-0000-0000E6500000}"/>
    <cellStyle name="SAPBEXHLevel1 2 4 2 2" xfId="4338" xr:uid="{00000000-0005-0000-0000-0000E7500000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3" xfId="3183" xr:uid="{00000000-0005-0000-0000-0000FE500000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2" xfId="3186" xr:uid="{00000000-0005-0000-0000-000020510000}"/>
    <cellStyle name="SAPBEXHLevel1 2 5 2 2" xfId="4336" xr:uid="{00000000-0005-0000-0000-00002151000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3" xfId="4337" xr:uid="{00000000-0005-0000-0000-000038510000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6" xfId="3187" xr:uid="{00000000-0005-0000-0000-00004F510000}"/>
    <cellStyle name="SAPBEXHLevel1 2 6 2" xfId="3188" xr:uid="{00000000-0005-0000-0000-000050510000}"/>
    <cellStyle name="SAPBEXHLevel1 2 6 2 2" xfId="4334" xr:uid="{00000000-0005-0000-0000-000051510000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3" xfId="4335" xr:uid="{00000000-0005-0000-0000-000068510000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7" xfId="3189" xr:uid="{00000000-0005-0000-0000-00007F510000}"/>
    <cellStyle name="SAPBEXHLevel1 2 7 2" xfId="3190" xr:uid="{00000000-0005-0000-0000-000080510000}"/>
    <cellStyle name="SAPBEXHLevel1 2 7 2 2" xfId="4332" xr:uid="{00000000-0005-0000-0000-00008151000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3" xfId="4333" xr:uid="{00000000-0005-0000-0000-000098510000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8" xfId="3191" xr:uid="{00000000-0005-0000-0000-0000AF510000}"/>
    <cellStyle name="SAPBEXHLevel1 2 8 2" xfId="4331" xr:uid="{00000000-0005-0000-0000-0000B0510000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9" xfId="3192" xr:uid="{00000000-0005-0000-0000-0000C7510000}"/>
    <cellStyle name="SAPBEXHLevel1 2 9 2" xfId="4330" xr:uid="{00000000-0005-0000-0000-0000C8510000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0" xfId="3193" xr:uid="{00000000-0005-0000-0000-0000DF510000}"/>
    <cellStyle name="SAPBEXHLevel1 20 2" xfId="4329" xr:uid="{00000000-0005-0000-0000-0000E0510000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1" xfId="4900" xr:uid="{00000000-0005-0000-0000-0000F7510000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2" xfId="5995" xr:uid="{00000000-0005-0000-0000-000004520000}"/>
    <cellStyle name="SAPBEXHLevel1 22 2" xfId="22964" xr:uid="{00000000-0005-0000-0000-000005520000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3" xfId="850" xr:uid="{00000000-0005-0000-0000-00000E520000}"/>
    <cellStyle name="SAPBEXHLevel1 3 10" xfId="3195" xr:uid="{00000000-0005-0000-0000-00000F520000}"/>
    <cellStyle name="SAPBEXHLevel1 3 10 2" xfId="4327" xr:uid="{00000000-0005-0000-0000-000010520000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1" xfId="3196" xr:uid="{00000000-0005-0000-0000-000027520000}"/>
    <cellStyle name="SAPBEXHLevel1 3 11 2" xfId="4326" xr:uid="{00000000-0005-0000-0000-000028520000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2" xfId="3197" xr:uid="{00000000-0005-0000-0000-00003F520000}"/>
    <cellStyle name="SAPBEXHLevel1 3 12 2" xfId="4325" xr:uid="{00000000-0005-0000-0000-000040520000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3" xfId="3198" xr:uid="{00000000-0005-0000-0000-000057520000}"/>
    <cellStyle name="SAPBEXHLevel1 3 13 2" xfId="4324" xr:uid="{00000000-0005-0000-0000-000058520000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4" xfId="3199" xr:uid="{00000000-0005-0000-0000-00006F520000}"/>
    <cellStyle name="SAPBEXHLevel1 3 14 2" xfId="4323" xr:uid="{00000000-0005-0000-0000-000070520000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5" xfId="3200" xr:uid="{00000000-0005-0000-0000-000087520000}"/>
    <cellStyle name="SAPBEXHLevel1 3 15 2" xfId="4322" xr:uid="{00000000-0005-0000-0000-000088520000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6" xfId="3201" xr:uid="{00000000-0005-0000-0000-00009F520000}"/>
    <cellStyle name="SAPBEXHLevel1 3 16 2" xfId="4321" xr:uid="{00000000-0005-0000-0000-0000A0520000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7" xfId="4328" xr:uid="{00000000-0005-0000-0000-0000B7520000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2" xfId="3203" xr:uid="{00000000-0005-0000-0000-0000C9520000}"/>
    <cellStyle name="SAPBEXHLevel1 3 2 2 2" xfId="3453" xr:uid="{00000000-0005-0000-0000-0000CA520000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3" xfId="4320" xr:uid="{00000000-0005-0000-0000-0000E1520000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3" xfId="3204" xr:uid="{00000000-0005-0000-0000-0000FF520000}"/>
    <cellStyle name="SAPBEXHLevel1 3 3 2" xfId="3205" xr:uid="{00000000-0005-0000-0000-000000530000}"/>
    <cellStyle name="SAPBEXHLevel1 3 3 2 2" xfId="4318" xr:uid="{00000000-0005-0000-0000-00000153000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3" xfId="4319" xr:uid="{00000000-0005-0000-0000-000018530000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4" xfId="3206" xr:uid="{00000000-0005-0000-0000-00002F530000}"/>
    <cellStyle name="SAPBEXHLevel1 3 4 2" xfId="3207" xr:uid="{00000000-0005-0000-0000-000030530000}"/>
    <cellStyle name="SAPBEXHLevel1 3 4 2 2" xfId="4316" xr:uid="{00000000-0005-0000-0000-000031530000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3" xfId="4317" xr:uid="{00000000-0005-0000-0000-000048530000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5" xfId="3208" xr:uid="{00000000-0005-0000-0000-00005F530000}"/>
    <cellStyle name="SAPBEXHLevel1 3 5 2" xfId="3209" xr:uid="{00000000-0005-0000-0000-000060530000}"/>
    <cellStyle name="SAPBEXHLevel1 3 5 2 2" xfId="4314" xr:uid="{00000000-0005-0000-0000-000061530000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3" xfId="4315" xr:uid="{00000000-0005-0000-0000-000078530000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6" xfId="3210" xr:uid="{00000000-0005-0000-0000-00008F530000}"/>
    <cellStyle name="SAPBEXHLevel1 3 6 2" xfId="3211" xr:uid="{00000000-0005-0000-0000-000090530000}"/>
    <cellStyle name="SAPBEXHLevel1 3 6 2 2" xfId="4312" xr:uid="{00000000-0005-0000-0000-000091530000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3" xfId="4313" xr:uid="{00000000-0005-0000-0000-0000A8530000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7" xfId="3212" xr:uid="{00000000-0005-0000-0000-0000BF530000}"/>
    <cellStyle name="SAPBEXHLevel1 3 7 2" xfId="3213" xr:uid="{00000000-0005-0000-0000-0000C0530000}"/>
    <cellStyle name="SAPBEXHLevel1 3 7 2 2" xfId="4310" xr:uid="{00000000-0005-0000-0000-0000C1530000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3" xfId="4311" xr:uid="{00000000-0005-0000-0000-0000D8530000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8" xfId="3214" xr:uid="{00000000-0005-0000-0000-0000EF530000}"/>
    <cellStyle name="SAPBEXHLevel1 3 8 2" xfId="4309" xr:uid="{00000000-0005-0000-0000-0000F0530000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9" xfId="3215" xr:uid="{00000000-0005-0000-0000-000007540000}"/>
    <cellStyle name="SAPBEXHLevel1 3 9 2" xfId="4308" xr:uid="{00000000-0005-0000-0000-000008540000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4" xfId="851" xr:uid="{00000000-0005-0000-0000-00001F540000}"/>
    <cellStyle name="SAPBEXHLevel1 4 10" xfId="3217" xr:uid="{00000000-0005-0000-0000-000020540000}"/>
    <cellStyle name="SAPBEXHLevel1 4 10 2" xfId="4306" xr:uid="{00000000-0005-0000-0000-000021540000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1" xfId="3218" xr:uid="{00000000-0005-0000-0000-000038540000}"/>
    <cellStyle name="SAPBEXHLevel1 4 11 2" xfId="4305" xr:uid="{00000000-0005-0000-0000-000039540000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2" xfId="3219" xr:uid="{00000000-0005-0000-0000-000050540000}"/>
    <cellStyle name="SAPBEXHLevel1 4 12 2" xfId="4304" xr:uid="{00000000-0005-0000-0000-000051540000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3" xfId="3220" xr:uid="{00000000-0005-0000-0000-000068540000}"/>
    <cellStyle name="SAPBEXHLevel1 4 13 2" xfId="4303" xr:uid="{00000000-0005-0000-0000-000069540000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4" xfId="3221" xr:uid="{00000000-0005-0000-0000-000080540000}"/>
    <cellStyle name="SAPBEXHLevel1 4 14 2" xfId="4302" xr:uid="{00000000-0005-0000-0000-000081540000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5" xfId="3222" xr:uid="{00000000-0005-0000-0000-000098540000}"/>
    <cellStyle name="SAPBEXHLevel1 4 15 2" xfId="4301" xr:uid="{00000000-0005-0000-0000-000099540000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6" xfId="3223" xr:uid="{00000000-0005-0000-0000-0000B0540000}"/>
    <cellStyle name="SAPBEXHLevel1 4 16 2" xfId="4300" xr:uid="{00000000-0005-0000-0000-0000B1540000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7" xfId="3216" xr:uid="{00000000-0005-0000-0000-0000C8540000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2" xfId="3225" xr:uid="{00000000-0005-0000-0000-0000EA540000}"/>
    <cellStyle name="SAPBEXHLevel1 4 2 2 2" xfId="4298" xr:uid="{00000000-0005-0000-0000-0000EB54000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3" xfId="3224" xr:uid="{00000000-0005-0000-0000-000002550000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4" xfId="4299" xr:uid="{00000000-0005-0000-0000-000010550000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2" xfId="3227" xr:uid="{00000000-0005-0000-0000-000038550000}"/>
    <cellStyle name="SAPBEXHLevel1 4 3 2 2" xfId="4297" xr:uid="{00000000-0005-0000-0000-000039550000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3" xfId="3226" xr:uid="{00000000-0005-0000-0000-000050550000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2" xfId="3229" xr:uid="{00000000-0005-0000-0000-000076550000}"/>
    <cellStyle name="SAPBEXHLevel1 4 4 2 2" xfId="4295" xr:uid="{00000000-0005-0000-0000-000077550000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3" xfId="4296" xr:uid="{00000000-0005-0000-0000-00008E550000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5" xfId="3230" xr:uid="{00000000-0005-0000-0000-0000A5550000}"/>
    <cellStyle name="SAPBEXHLevel1 4 5 2" xfId="3231" xr:uid="{00000000-0005-0000-0000-0000A6550000}"/>
    <cellStyle name="SAPBEXHLevel1 4 5 2 2" xfId="4293" xr:uid="{00000000-0005-0000-0000-0000A7550000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3" xfId="4294" xr:uid="{00000000-0005-0000-0000-0000BE550000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6" xfId="3232" xr:uid="{00000000-0005-0000-0000-0000D5550000}"/>
    <cellStyle name="SAPBEXHLevel1 4 6 2" xfId="3233" xr:uid="{00000000-0005-0000-0000-0000D6550000}"/>
    <cellStyle name="SAPBEXHLevel1 4 6 2 2" xfId="4291" xr:uid="{00000000-0005-0000-0000-0000D7550000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3" xfId="4292" xr:uid="{00000000-0005-0000-0000-0000EE550000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7" xfId="3234" xr:uid="{00000000-0005-0000-0000-000005560000}"/>
    <cellStyle name="SAPBEXHLevel1 4 7 2" xfId="3235" xr:uid="{00000000-0005-0000-0000-000006560000}"/>
    <cellStyle name="SAPBEXHLevel1 4 7 2 2" xfId="4289" xr:uid="{00000000-0005-0000-0000-000007560000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3" xfId="4290" xr:uid="{00000000-0005-0000-0000-00001E560000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8" xfId="3236" xr:uid="{00000000-0005-0000-0000-000035560000}"/>
    <cellStyle name="SAPBEXHLevel1 4 8 2" xfId="4288" xr:uid="{00000000-0005-0000-0000-000036560000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9" xfId="3237" xr:uid="{00000000-0005-0000-0000-00004D560000}"/>
    <cellStyle name="SAPBEXHLevel1 4 9 2" xfId="4287" xr:uid="{00000000-0005-0000-0000-00004E560000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5" xfId="854" xr:uid="{00000000-0005-0000-0000-000065560000}"/>
    <cellStyle name="SAPBEXHLevel1 5 10" xfId="3239" xr:uid="{00000000-0005-0000-0000-000066560000}"/>
    <cellStyle name="SAPBEXHLevel1 5 10 2" xfId="4285" xr:uid="{00000000-0005-0000-0000-000067560000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1" xfId="3240" xr:uid="{00000000-0005-0000-0000-00007E560000}"/>
    <cellStyle name="SAPBEXHLevel1 5 11 2" xfId="4284" xr:uid="{00000000-0005-0000-0000-00007F560000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2" xfId="3241" xr:uid="{00000000-0005-0000-0000-000096560000}"/>
    <cellStyle name="SAPBEXHLevel1 5 12 2" xfId="4283" xr:uid="{00000000-0005-0000-0000-000097560000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3" xfId="3242" xr:uid="{00000000-0005-0000-0000-0000AE560000}"/>
    <cellStyle name="SAPBEXHLevel1 5 13 2" xfId="4282" xr:uid="{00000000-0005-0000-0000-0000AF560000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4" xfId="3243" xr:uid="{00000000-0005-0000-0000-0000C6560000}"/>
    <cellStyle name="SAPBEXHLevel1 5 14 2" xfId="4281" xr:uid="{00000000-0005-0000-0000-0000C756000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5" xfId="3244" xr:uid="{00000000-0005-0000-0000-0000DE560000}"/>
    <cellStyle name="SAPBEXHLevel1 5 15 2" xfId="4280" xr:uid="{00000000-0005-0000-0000-0000DF560000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6" xfId="3245" xr:uid="{00000000-0005-0000-0000-0000F6560000}"/>
    <cellStyle name="SAPBEXHLevel1 5 16 2" xfId="4279" xr:uid="{00000000-0005-0000-0000-0000F7560000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7" xfId="3238" xr:uid="{00000000-0005-0000-0000-00000E570000}"/>
    <cellStyle name="SAPBEXHLevel1 5 17 2" xfId="8407" xr:uid="{00000000-0005-0000-0000-00000F570000}"/>
    <cellStyle name="SAPBEXHLevel1 5 17 2 2" xfId="24436" xr:uid="{00000000-0005-0000-0000-000010570000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8" xfId="4286" xr:uid="{00000000-0005-0000-0000-00001C570000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2" xfId="3247" xr:uid="{00000000-0005-0000-0000-00002E570000}"/>
    <cellStyle name="SAPBEXHLevel1 5 2 2 2" xfId="4277" xr:uid="{00000000-0005-0000-0000-00002F570000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3" xfId="3246" xr:uid="{00000000-0005-0000-0000-000046570000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3" xfId="3248" xr:uid="{00000000-0005-0000-0000-00006E570000}"/>
    <cellStyle name="SAPBEXHLevel1 5 3 10" xfId="37915" xr:uid="{00000000-0005-0000-0000-00006F570000}"/>
    <cellStyle name="SAPBEXHLevel1 5 3 2" xfId="3249" xr:uid="{00000000-0005-0000-0000-000070570000}"/>
    <cellStyle name="SAPBEXHLevel1 5 3 2 2" xfId="4275" xr:uid="{00000000-0005-0000-0000-000071570000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3" xfId="4276" xr:uid="{00000000-0005-0000-0000-000088570000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4" xfId="3250" xr:uid="{00000000-0005-0000-0000-0000A0570000}"/>
    <cellStyle name="SAPBEXHLevel1 5 4 2" xfId="3251" xr:uid="{00000000-0005-0000-0000-0000A1570000}"/>
    <cellStyle name="SAPBEXHLevel1 5 4 2 2" xfId="4274" xr:uid="{00000000-0005-0000-0000-0000A2570000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3" xfId="3493" xr:uid="{00000000-0005-0000-0000-0000B9570000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5" xfId="3252" xr:uid="{00000000-0005-0000-0000-0000D0570000}"/>
    <cellStyle name="SAPBEXHLevel1 5 5 2" xfId="3253" xr:uid="{00000000-0005-0000-0000-0000D1570000}"/>
    <cellStyle name="SAPBEXHLevel1 5 5 2 2" xfId="4272" xr:uid="{00000000-0005-0000-0000-0000D2570000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3" xfId="4273" xr:uid="{00000000-0005-0000-0000-0000E9570000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6" xfId="3254" xr:uid="{00000000-0005-0000-0000-000000580000}"/>
    <cellStyle name="SAPBEXHLevel1 5 6 2" xfId="3255" xr:uid="{00000000-0005-0000-0000-000001580000}"/>
    <cellStyle name="SAPBEXHLevel1 5 6 2 2" xfId="4270" xr:uid="{00000000-0005-0000-0000-000002580000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3" xfId="4271" xr:uid="{00000000-0005-0000-0000-000019580000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7" xfId="3256" xr:uid="{00000000-0005-0000-0000-000030580000}"/>
    <cellStyle name="SAPBEXHLevel1 5 7 2" xfId="3257" xr:uid="{00000000-0005-0000-0000-000031580000}"/>
    <cellStyle name="SAPBEXHLevel1 5 7 2 2" xfId="4268" xr:uid="{00000000-0005-0000-0000-000032580000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3" xfId="4269" xr:uid="{00000000-0005-0000-0000-000049580000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8" xfId="3258" xr:uid="{00000000-0005-0000-0000-000060580000}"/>
    <cellStyle name="SAPBEXHLevel1 5 8 2" xfId="4267" xr:uid="{00000000-0005-0000-0000-000061580000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9" xfId="3259" xr:uid="{00000000-0005-0000-0000-000078580000}"/>
    <cellStyle name="SAPBEXHLevel1 5 9 2" xfId="4266" xr:uid="{00000000-0005-0000-0000-000079580000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2" xfId="857" xr:uid="{00000000-0005-0000-0000-000093580000}"/>
    <cellStyle name="SAPBEXHLevel1 6 2 10" xfId="22466" xr:uid="{00000000-0005-0000-0000-000094580000}"/>
    <cellStyle name="SAPBEXHLevel1 6 2 2" xfId="3261" xr:uid="{00000000-0005-0000-0000-000095580000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2" xfId="8429" xr:uid="{00000000-0005-0000-0000-0000B8580000}"/>
    <cellStyle name="SAPBEXHLevel1 6 3 2 2" xfId="24458" xr:uid="{00000000-0005-0000-0000-0000B9580000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4" xfId="4265" xr:uid="{00000000-0005-0000-0000-0000C5580000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2" xfId="859" xr:uid="{00000000-0005-0000-0000-0000DB580000}"/>
    <cellStyle name="SAPBEXHLevel1 7 2 10" xfId="22468" xr:uid="{00000000-0005-0000-0000-0000DC580000}"/>
    <cellStyle name="SAPBEXHLevel1 7 2 2" xfId="3263" xr:uid="{00000000-0005-0000-0000-0000DD580000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2" xfId="8431" xr:uid="{00000000-0005-0000-0000-000000590000}"/>
    <cellStyle name="SAPBEXHLevel1 7 3 2 2" xfId="24460" xr:uid="{00000000-0005-0000-0000-000001590000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4" xfId="4263" xr:uid="{00000000-0005-0000-0000-00000D590000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2" xfId="861" xr:uid="{00000000-0005-0000-0000-000023590000}"/>
    <cellStyle name="SAPBEXHLevel1 8 2 10" xfId="22470" xr:uid="{00000000-0005-0000-0000-000024590000}"/>
    <cellStyle name="SAPBEXHLevel1 8 2 2" xfId="3265" xr:uid="{00000000-0005-0000-0000-000025590000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2" xfId="8433" xr:uid="{00000000-0005-0000-0000-000048590000}"/>
    <cellStyle name="SAPBEXHLevel1 8 3 2 2" xfId="24462" xr:uid="{00000000-0005-0000-0000-000049590000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4" xfId="4261" xr:uid="{00000000-0005-0000-0000-000055590000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2" xfId="3267" xr:uid="{00000000-0005-0000-0000-00006B590000}"/>
    <cellStyle name="SAPBEXHLevel1 9 2 2" xfId="4258" xr:uid="{00000000-0005-0000-0000-00006C590000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3" xfId="3266" xr:uid="{00000000-0005-0000-0000-000083590000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2" xfId="3269" xr:uid="{00000000-0005-0000-0000-0000A7590000}"/>
    <cellStyle name="SAPBEXHLevel1X 10 2 2" xfId="4256" xr:uid="{00000000-0005-0000-0000-0000A8590000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3" xfId="4257" xr:uid="{00000000-0005-0000-0000-0000BF590000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1" xfId="1872" xr:uid="{00000000-0005-0000-0000-0000D6590000}"/>
    <cellStyle name="SAPBEXHLevel1X 11 2" xfId="3271" xr:uid="{00000000-0005-0000-0000-0000D7590000}"/>
    <cellStyle name="SAPBEXHLevel1X 11 2 2" xfId="4254" xr:uid="{00000000-0005-0000-0000-0000D8590000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3" xfId="4255" xr:uid="{00000000-0005-0000-0000-0000EF590000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2" xfId="2133" xr:uid="{00000000-0005-0000-0000-0000085A0000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3" xfId="3274" xr:uid="{00000000-0005-0000-0000-00001F5A0000}"/>
    <cellStyle name="SAPBEXHLevel1X 13 2" xfId="4253" xr:uid="{00000000-0005-0000-0000-0000205A0000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4" xfId="3275" xr:uid="{00000000-0005-0000-0000-0000375A0000}"/>
    <cellStyle name="SAPBEXHLevel1X 14 2" xfId="4252" xr:uid="{00000000-0005-0000-0000-0000385A0000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5" xfId="3276" xr:uid="{00000000-0005-0000-0000-00004F5A0000}"/>
    <cellStyle name="SAPBEXHLevel1X 15 2" xfId="4251" xr:uid="{00000000-0005-0000-0000-0000505A0000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6" xfId="3277" xr:uid="{00000000-0005-0000-0000-0000675A0000}"/>
    <cellStyle name="SAPBEXHLevel1X 16 2" xfId="4250" xr:uid="{00000000-0005-0000-0000-0000685A0000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7" xfId="3278" xr:uid="{00000000-0005-0000-0000-00007F5A0000}"/>
    <cellStyle name="SAPBEXHLevel1X 17 2" xfId="4249" xr:uid="{00000000-0005-0000-0000-0000805A0000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8" xfId="3279" xr:uid="{00000000-0005-0000-0000-0000975A0000}"/>
    <cellStyle name="SAPBEXHLevel1X 18 2" xfId="4248" xr:uid="{00000000-0005-0000-0000-0000985A0000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9" xfId="3280" xr:uid="{00000000-0005-0000-0000-0000AF5A0000}"/>
    <cellStyle name="SAPBEXHLevel1X 19 2" xfId="4247" xr:uid="{00000000-0005-0000-0000-0000B05A0000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2" xfId="863" xr:uid="{00000000-0005-0000-0000-0000C75A0000}"/>
    <cellStyle name="SAPBEXHLevel1X 2 10" xfId="3282" xr:uid="{00000000-0005-0000-0000-0000C85A0000}"/>
    <cellStyle name="SAPBEXHLevel1X 2 10 2" xfId="4245" xr:uid="{00000000-0005-0000-0000-0000C95A0000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1" xfId="3283" xr:uid="{00000000-0005-0000-0000-0000E05A0000}"/>
    <cellStyle name="SAPBEXHLevel1X 2 11 2" xfId="4244" xr:uid="{00000000-0005-0000-0000-0000E15A0000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2" xfId="3284" xr:uid="{00000000-0005-0000-0000-0000F85A0000}"/>
    <cellStyle name="SAPBEXHLevel1X 2 12 2" xfId="4243" xr:uid="{00000000-0005-0000-0000-0000F95A0000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3" xfId="3285" xr:uid="{00000000-0005-0000-0000-0000105B0000}"/>
    <cellStyle name="SAPBEXHLevel1X 2 13 2" xfId="4241" xr:uid="{00000000-0005-0000-0000-0000115B0000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4" xfId="3286" xr:uid="{00000000-0005-0000-0000-0000285B0000}"/>
    <cellStyle name="SAPBEXHLevel1X 2 14 2" xfId="4240" xr:uid="{00000000-0005-0000-0000-0000295B0000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5" xfId="3287" xr:uid="{00000000-0005-0000-0000-0000405B0000}"/>
    <cellStyle name="SAPBEXHLevel1X 2 15 2" xfId="4239" xr:uid="{00000000-0005-0000-0000-0000415B0000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6" xfId="3288" xr:uid="{00000000-0005-0000-0000-0000585B0000}"/>
    <cellStyle name="SAPBEXHLevel1X 2 16 2" xfId="4238" xr:uid="{00000000-0005-0000-0000-0000595B0000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7" xfId="3281" xr:uid="{00000000-0005-0000-0000-0000705B000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2" xfId="865" xr:uid="{00000000-0005-0000-0000-0000915B000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3" xfId="3289" xr:uid="{00000000-0005-0000-0000-00009F5B0000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4" xfId="4237" xr:uid="{00000000-0005-0000-0000-0000AD5B0000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3" xfId="3290" xr:uid="{00000000-0005-0000-0000-0000D05B0000}"/>
    <cellStyle name="SAPBEXHLevel1X 2 3 2" xfId="4236" xr:uid="{00000000-0005-0000-0000-0000D15B0000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4" xfId="3291" xr:uid="{00000000-0005-0000-0000-0000E85B0000}"/>
    <cellStyle name="SAPBEXHLevel1X 2 4 2" xfId="4235" xr:uid="{00000000-0005-0000-0000-0000E95B0000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5" xfId="3292" xr:uid="{00000000-0005-0000-0000-0000005C0000}"/>
    <cellStyle name="SAPBEXHLevel1X 2 5 2" xfId="4234" xr:uid="{00000000-0005-0000-0000-0000015C0000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6" xfId="3293" xr:uid="{00000000-0005-0000-0000-0000185C0000}"/>
    <cellStyle name="SAPBEXHLevel1X 2 6 2" xfId="4233" xr:uid="{00000000-0005-0000-0000-0000195C0000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7" xfId="3294" xr:uid="{00000000-0005-0000-0000-0000305C0000}"/>
    <cellStyle name="SAPBEXHLevel1X 2 7 2" xfId="4232" xr:uid="{00000000-0005-0000-0000-0000315C0000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8" xfId="3295" xr:uid="{00000000-0005-0000-0000-0000485C0000}"/>
    <cellStyle name="SAPBEXHLevel1X 2 8 2" xfId="4231" xr:uid="{00000000-0005-0000-0000-0000495C0000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9" xfId="3296" xr:uid="{00000000-0005-0000-0000-0000605C0000}"/>
    <cellStyle name="SAPBEXHLevel1X 2 9 2" xfId="4230" xr:uid="{00000000-0005-0000-0000-0000615C0000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0" xfId="4899" xr:uid="{00000000-0005-0000-0000-0000785C0000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1" xfId="5994" xr:uid="{00000000-0005-0000-0000-0000855C0000}"/>
    <cellStyle name="SAPBEXHLevel1X 21 2" xfId="22963" xr:uid="{00000000-0005-0000-0000-0000865C0000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3" xfId="866" xr:uid="{00000000-0005-0000-0000-00008F5C0000}"/>
    <cellStyle name="SAPBEXHLevel1X 3 10" xfId="3298" xr:uid="{00000000-0005-0000-0000-0000905C0000}"/>
    <cellStyle name="SAPBEXHLevel1X 3 10 2" xfId="4228" xr:uid="{00000000-0005-0000-0000-0000915C0000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1" xfId="3299" xr:uid="{00000000-0005-0000-0000-0000A85C0000}"/>
    <cellStyle name="SAPBEXHLevel1X 3 11 2" xfId="4227" xr:uid="{00000000-0005-0000-0000-0000A95C0000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2" xfId="3300" xr:uid="{00000000-0005-0000-0000-0000C05C0000}"/>
    <cellStyle name="SAPBEXHLevel1X 3 12 2" xfId="4226" xr:uid="{00000000-0005-0000-0000-0000C15C0000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3" xfId="3301" xr:uid="{00000000-0005-0000-0000-0000D85C0000}"/>
    <cellStyle name="SAPBEXHLevel1X 3 13 2" xfId="4225" xr:uid="{00000000-0005-0000-0000-0000D95C0000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4" xfId="3302" xr:uid="{00000000-0005-0000-0000-0000F05C0000}"/>
    <cellStyle name="SAPBEXHLevel1X 3 14 2" xfId="4224" xr:uid="{00000000-0005-0000-0000-0000F15C0000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5" xfId="3303" xr:uid="{00000000-0005-0000-0000-0000085D0000}"/>
    <cellStyle name="SAPBEXHLevel1X 3 15 2" xfId="4223" xr:uid="{00000000-0005-0000-0000-0000095D0000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6" xfId="4229" xr:uid="{00000000-0005-0000-0000-0000205D0000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7" xfId="5400" xr:uid="{00000000-0005-0000-0000-00002D5D0000}"/>
    <cellStyle name="SAPBEXHLevel1X 3 17 2" xfId="22660" xr:uid="{00000000-0005-0000-0000-00002E5D0000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2" xfId="3304" xr:uid="{00000000-0005-0000-0000-0000355D0000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3" xfId="3495" xr:uid="{00000000-0005-0000-0000-0000435D0000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3" xfId="1994" xr:uid="{00000000-0005-0000-0000-0000645D0000}"/>
    <cellStyle name="SAPBEXHLevel1X 3 3 2" xfId="3496" xr:uid="{00000000-0005-0000-0000-0000655D0000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4" xfId="3306" xr:uid="{00000000-0005-0000-0000-00007D5D0000}"/>
    <cellStyle name="SAPBEXHLevel1X 3 4 2" xfId="4950" xr:uid="{00000000-0005-0000-0000-00007E5D0000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5" xfId="3307" xr:uid="{00000000-0005-0000-0000-0000955D0000}"/>
    <cellStyle name="SAPBEXHLevel1X 3 5 2" xfId="4222" xr:uid="{00000000-0005-0000-0000-0000965D0000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6" xfId="3308" xr:uid="{00000000-0005-0000-0000-0000AD5D0000}"/>
    <cellStyle name="SAPBEXHLevel1X 3 6 2" xfId="4221" xr:uid="{00000000-0005-0000-0000-0000AE5D0000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7" xfId="3309" xr:uid="{00000000-0005-0000-0000-0000C55D0000}"/>
    <cellStyle name="SAPBEXHLevel1X 3 7 2" xfId="3519" xr:uid="{00000000-0005-0000-0000-0000C65D0000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8" xfId="3310" xr:uid="{00000000-0005-0000-0000-0000DD5D0000}"/>
    <cellStyle name="SAPBEXHLevel1X 3 8 2" xfId="4220" xr:uid="{00000000-0005-0000-0000-0000DE5D0000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9" xfId="3311" xr:uid="{00000000-0005-0000-0000-0000F55D0000}"/>
    <cellStyle name="SAPBEXHLevel1X 3 9 2" xfId="2134" xr:uid="{00000000-0005-0000-0000-0000F65D0000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4" xfId="868" xr:uid="{00000000-0005-0000-0000-00000D5E0000}"/>
    <cellStyle name="SAPBEXHLevel1X 4 10" xfId="3313" xr:uid="{00000000-0005-0000-0000-00000E5E0000}"/>
    <cellStyle name="SAPBEXHLevel1X 4 10 2" xfId="4949" xr:uid="{00000000-0005-0000-0000-00000F5E0000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1" xfId="3314" xr:uid="{00000000-0005-0000-0000-0000265E0000}"/>
    <cellStyle name="SAPBEXHLevel1X 4 11 2" xfId="4948" xr:uid="{00000000-0005-0000-0000-0000275E0000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2" xfId="3315" xr:uid="{00000000-0005-0000-0000-00003E5E0000}"/>
    <cellStyle name="SAPBEXHLevel1X 4 12 2" xfId="4947" xr:uid="{00000000-0005-0000-0000-00003F5E0000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3" xfId="3316" xr:uid="{00000000-0005-0000-0000-0000565E0000}"/>
    <cellStyle name="SAPBEXHLevel1X 4 13 2" xfId="3568" xr:uid="{00000000-0005-0000-0000-0000575E000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4" xfId="3317" xr:uid="{00000000-0005-0000-0000-00006E5E0000}"/>
    <cellStyle name="SAPBEXHLevel1X 4 14 2" xfId="3569" xr:uid="{00000000-0005-0000-0000-00006F5E0000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5" xfId="3318" xr:uid="{00000000-0005-0000-0000-0000865E0000}"/>
    <cellStyle name="SAPBEXHLevel1X 4 15 2" xfId="4218" xr:uid="{00000000-0005-0000-0000-0000875E0000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6" xfId="3312" xr:uid="{00000000-0005-0000-0000-00009E5E000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7" xfId="4219" xr:uid="{00000000-0005-0000-0000-0000AC5E0000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2" xfId="3319" xr:uid="{00000000-0005-0000-0000-0000C05E0000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3" xfId="4946" xr:uid="{00000000-0005-0000-0000-0000CE5E0000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2" xfId="3320" xr:uid="{00000000-0005-0000-0000-0000F45E0000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2" xfId="4216" xr:uid="{00000000-0005-0000-0000-00001C5F0000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5" xfId="3322" xr:uid="{00000000-0005-0000-0000-0000345F0000}"/>
    <cellStyle name="SAPBEXHLevel1X 4 5 2" xfId="4215" xr:uid="{00000000-0005-0000-0000-0000355F0000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6" xfId="3323" xr:uid="{00000000-0005-0000-0000-00004C5F0000}"/>
    <cellStyle name="SAPBEXHLevel1X 4 6 2" xfId="4214" xr:uid="{00000000-0005-0000-0000-00004D5F000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7" xfId="3324" xr:uid="{00000000-0005-0000-0000-0000645F0000}"/>
    <cellStyle name="SAPBEXHLevel1X 4 7 2" xfId="4213" xr:uid="{00000000-0005-0000-0000-0000655F0000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8" xfId="3325" xr:uid="{00000000-0005-0000-0000-00007C5F0000}"/>
    <cellStyle name="SAPBEXHLevel1X 4 8 2" xfId="4212" xr:uid="{00000000-0005-0000-0000-00007D5F0000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9" xfId="3326" xr:uid="{00000000-0005-0000-0000-0000945F0000}"/>
    <cellStyle name="SAPBEXHLevel1X 4 9 2" xfId="4211" xr:uid="{00000000-0005-0000-0000-0000955F0000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5" xfId="871" xr:uid="{00000000-0005-0000-0000-0000AC5F0000}"/>
    <cellStyle name="SAPBEXHLevel1X 5 10" xfId="3328" xr:uid="{00000000-0005-0000-0000-0000AD5F0000}"/>
    <cellStyle name="SAPBEXHLevel1X 5 10 2" xfId="4207" xr:uid="{00000000-0005-0000-0000-0000AE5F0000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1" xfId="3329" xr:uid="{00000000-0005-0000-0000-0000C55F0000}"/>
    <cellStyle name="SAPBEXHLevel1X 5 11 2" xfId="4206" xr:uid="{00000000-0005-0000-0000-0000C65F0000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2" xfId="3330" xr:uid="{00000000-0005-0000-0000-0000DD5F0000}"/>
    <cellStyle name="SAPBEXHLevel1X 5 12 2" xfId="4205" xr:uid="{00000000-0005-0000-0000-0000DE5F0000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3" xfId="3331" xr:uid="{00000000-0005-0000-0000-0000F55F0000}"/>
    <cellStyle name="SAPBEXHLevel1X 5 13 2" xfId="4204" xr:uid="{00000000-0005-0000-0000-0000F65F0000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4" xfId="3332" xr:uid="{00000000-0005-0000-0000-00000D600000}"/>
    <cellStyle name="SAPBEXHLevel1X 5 14 2" xfId="4203" xr:uid="{00000000-0005-0000-0000-00000E600000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5" xfId="3333" xr:uid="{00000000-0005-0000-0000-000025600000}"/>
    <cellStyle name="SAPBEXHLevel1X 5 15 2" xfId="4202" xr:uid="{00000000-0005-0000-0000-000026600000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6" xfId="3327" xr:uid="{00000000-0005-0000-0000-00003D600000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7" xfId="4210" xr:uid="{00000000-0005-0000-0000-00004B600000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2" xfId="3334" xr:uid="{00000000-0005-0000-0000-00005E600000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3" xfId="3335" xr:uid="{00000000-0005-0000-0000-00008F600000}"/>
    <cellStyle name="SAPBEXHLevel1X 5 3 2" xfId="4200" xr:uid="{00000000-0005-0000-0000-000090600000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4" xfId="3336" xr:uid="{00000000-0005-0000-0000-0000A8600000}"/>
    <cellStyle name="SAPBEXHLevel1X 5 4 2" xfId="4199" xr:uid="{00000000-0005-0000-0000-0000A9600000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5" xfId="3337" xr:uid="{00000000-0005-0000-0000-0000C0600000}"/>
    <cellStyle name="SAPBEXHLevel1X 5 5 2" xfId="4198" xr:uid="{00000000-0005-0000-0000-0000C1600000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6" xfId="3338" xr:uid="{00000000-0005-0000-0000-0000D8600000}"/>
    <cellStyle name="SAPBEXHLevel1X 5 6 2" xfId="4197" xr:uid="{00000000-0005-0000-0000-0000D9600000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7" xfId="3339" xr:uid="{00000000-0005-0000-0000-0000F0600000}"/>
    <cellStyle name="SAPBEXHLevel1X 5 7 2" xfId="4196" xr:uid="{00000000-0005-0000-0000-0000F1600000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8" xfId="3340" xr:uid="{00000000-0005-0000-0000-000008610000}"/>
    <cellStyle name="SAPBEXHLevel1X 5 8 2" xfId="4195" xr:uid="{00000000-0005-0000-0000-000009610000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9" xfId="3341" xr:uid="{00000000-0005-0000-0000-000020610000}"/>
    <cellStyle name="SAPBEXHLevel1X 5 9 2" xfId="4194" xr:uid="{00000000-0005-0000-0000-00002161000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2" xfId="1874" xr:uid="{00000000-0005-0000-0000-00003C610000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2" xfId="3343" xr:uid="{00000000-0005-0000-0000-000071610000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2" xfId="4192" xr:uid="{00000000-0005-0000-0000-000099610000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9" xfId="1876" xr:uid="{00000000-0005-0000-0000-0000B0610000}"/>
    <cellStyle name="SAPBEXHLevel1X 9 2" xfId="3593" xr:uid="{00000000-0005-0000-0000-0000B1610000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2" xfId="3346" xr:uid="{00000000-0005-0000-0000-0000CC610000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2" xfId="4191" xr:uid="{00000000-0005-0000-0000-0000EF610000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2" xfId="1880" xr:uid="{00000000-0005-0000-0000-000006620000}"/>
    <cellStyle name="SAPBEXHLevel2 12 2" xfId="4944" xr:uid="{00000000-0005-0000-0000-000007620000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3" xfId="3349" xr:uid="{00000000-0005-0000-0000-00001E620000}"/>
    <cellStyle name="SAPBEXHLevel2 13 2" xfId="4190" xr:uid="{00000000-0005-0000-0000-00001F620000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4" xfId="3350" xr:uid="{00000000-0005-0000-0000-000036620000}"/>
    <cellStyle name="SAPBEXHLevel2 14 2" xfId="3601" xr:uid="{00000000-0005-0000-0000-000037620000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5" xfId="3351" xr:uid="{00000000-0005-0000-0000-00004E620000}"/>
    <cellStyle name="SAPBEXHLevel2 15 2" xfId="4943" xr:uid="{00000000-0005-0000-0000-00004F620000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6" xfId="3352" xr:uid="{00000000-0005-0000-0000-000066620000}"/>
    <cellStyle name="SAPBEXHLevel2 16 2" xfId="4942" xr:uid="{00000000-0005-0000-0000-000067620000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7" xfId="3353" xr:uid="{00000000-0005-0000-0000-00007E620000}"/>
    <cellStyle name="SAPBEXHLevel2 17 2" xfId="4189" xr:uid="{00000000-0005-0000-0000-00007F620000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8" xfId="3354" xr:uid="{00000000-0005-0000-0000-000096620000}"/>
    <cellStyle name="SAPBEXHLevel2 18 2" xfId="4188" xr:uid="{00000000-0005-0000-0000-000097620000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9" xfId="3355" xr:uid="{00000000-0005-0000-0000-0000AE620000}"/>
    <cellStyle name="SAPBEXHLevel2 19 2" xfId="4187" xr:uid="{00000000-0005-0000-0000-0000AF620000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2" xfId="875" xr:uid="{00000000-0005-0000-0000-0000C6620000}"/>
    <cellStyle name="SAPBEXHLevel2 2 10" xfId="3357" xr:uid="{00000000-0005-0000-0000-0000C7620000}"/>
    <cellStyle name="SAPBEXHLevel2 2 10 2" xfId="4185" xr:uid="{00000000-0005-0000-0000-0000C8620000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1" xfId="3358" xr:uid="{00000000-0005-0000-0000-0000DF620000}"/>
    <cellStyle name="SAPBEXHLevel2 2 11 2" xfId="4941" xr:uid="{00000000-0005-0000-0000-0000E0620000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2" xfId="3359" xr:uid="{00000000-0005-0000-0000-0000F7620000}"/>
    <cellStyle name="SAPBEXHLevel2 2 12 2" xfId="4940" xr:uid="{00000000-0005-0000-0000-0000F8620000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3" xfId="3360" xr:uid="{00000000-0005-0000-0000-00000F630000}"/>
    <cellStyle name="SAPBEXHLevel2 2 13 2" xfId="3640" xr:uid="{00000000-0005-0000-0000-000010630000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4" xfId="3361" xr:uid="{00000000-0005-0000-0000-000027630000}"/>
    <cellStyle name="SAPBEXHLevel2 2 14 2" xfId="4184" xr:uid="{00000000-0005-0000-0000-000028630000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5" xfId="3362" xr:uid="{00000000-0005-0000-0000-00003F630000}"/>
    <cellStyle name="SAPBEXHLevel2 2 15 2" xfId="3641" xr:uid="{00000000-0005-0000-0000-000040630000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6" xfId="3356" xr:uid="{00000000-0005-0000-0000-000057630000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2" xfId="877" xr:uid="{00000000-0005-0000-0000-000079630000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3" xfId="3363" xr:uid="{00000000-0005-0000-0000-000087630000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4" xfId="4939" xr:uid="{00000000-0005-0000-0000-00009563000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3" xfId="1881" xr:uid="{00000000-0005-0000-0000-0000B2630000}"/>
    <cellStyle name="SAPBEXHLevel2 2 3 10" xfId="23059" xr:uid="{00000000-0005-0000-0000-0000B3630000}"/>
    <cellStyle name="SAPBEXHLevel2 2 3 2" xfId="3364" xr:uid="{00000000-0005-0000-0000-0000B4630000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2" xfId="3365" xr:uid="{00000000-0005-0000-0000-0000D8630000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2" xfId="4951" xr:uid="{00000000-0005-0000-0000-0000FB630000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6" xfId="3367" xr:uid="{00000000-0005-0000-0000-000012640000}"/>
    <cellStyle name="SAPBEXHLevel2 2 6 2" xfId="4183" xr:uid="{00000000-0005-0000-0000-000013640000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7" xfId="3368" xr:uid="{00000000-0005-0000-0000-00002A640000}"/>
    <cellStyle name="SAPBEXHLevel2 2 7 2" xfId="4182" xr:uid="{00000000-0005-0000-0000-00002B640000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8" xfId="3369" xr:uid="{00000000-0005-0000-0000-000042640000}"/>
    <cellStyle name="SAPBEXHLevel2 2 8 2" xfId="4181" xr:uid="{00000000-0005-0000-0000-000043640000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9" xfId="3370" xr:uid="{00000000-0005-0000-0000-00005A640000}"/>
    <cellStyle name="SAPBEXHLevel2 2 9 2" xfId="4180" xr:uid="{00000000-0005-0000-0000-00005B640000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0" xfId="4898" xr:uid="{00000000-0005-0000-0000-000072640000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3" xfId="878" xr:uid="{00000000-0005-0000-0000-000089640000}"/>
    <cellStyle name="SAPBEXHLevel2 3 10" xfId="3372" xr:uid="{00000000-0005-0000-0000-00008A640000}"/>
    <cellStyle name="SAPBEXHLevel2 3 10 2" xfId="4178" xr:uid="{00000000-0005-0000-0000-00008B640000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1" xfId="3373" xr:uid="{00000000-0005-0000-0000-0000A2640000}"/>
    <cellStyle name="SAPBEXHLevel2 3 11 2" xfId="4177" xr:uid="{00000000-0005-0000-0000-0000A3640000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2" xfId="3374" xr:uid="{00000000-0005-0000-0000-0000BA640000}"/>
    <cellStyle name="SAPBEXHLevel2 3 12 2" xfId="4176" xr:uid="{00000000-0005-0000-0000-0000BB640000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3" xfId="3375" xr:uid="{00000000-0005-0000-0000-0000D2640000}"/>
    <cellStyle name="SAPBEXHLevel2 3 13 2" xfId="2136" xr:uid="{00000000-0005-0000-0000-0000D3640000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4" xfId="3376" xr:uid="{00000000-0005-0000-0000-0000EA640000}"/>
    <cellStyle name="SAPBEXHLevel2 3 14 2" xfId="2137" xr:uid="{00000000-0005-0000-0000-0000EB640000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5" xfId="3377" xr:uid="{00000000-0005-0000-0000-000002650000}"/>
    <cellStyle name="SAPBEXHLevel2 3 15 2" xfId="4175" xr:uid="{00000000-0005-0000-0000-000003650000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6" xfId="4179" xr:uid="{00000000-0005-0000-0000-00001A650000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2" xfId="4174" xr:uid="{00000000-0005-0000-0000-00002E650000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3" xfId="3379" xr:uid="{00000000-0005-0000-0000-00004A650000}"/>
    <cellStyle name="SAPBEXHLevel2 3 3 2" xfId="4173" xr:uid="{00000000-0005-0000-0000-00004B650000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4" xfId="3380" xr:uid="{00000000-0005-0000-0000-000062650000}"/>
    <cellStyle name="SAPBEXHLevel2 3 4 2" xfId="4172" xr:uid="{00000000-0005-0000-0000-000063650000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5" xfId="3381" xr:uid="{00000000-0005-0000-0000-00007A650000}"/>
    <cellStyle name="SAPBEXHLevel2 3 5 2" xfId="4171" xr:uid="{00000000-0005-0000-0000-00007B650000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6" xfId="3382" xr:uid="{00000000-0005-0000-0000-000092650000}"/>
    <cellStyle name="SAPBEXHLevel2 3 6 2" xfId="4170" xr:uid="{00000000-0005-0000-0000-00009365000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7" xfId="3383" xr:uid="{00000000-0005-0000-0000-0000AA650000}"/>
    <cellStyle name="SAPBEXHLevel2 3 7 2" xfId="4169" xr:uid="{00000000-0005-0000-0000-0000AB650000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8" xfId="3384" xr:uid="{00000000-0005-0000-0000-0000C2650000}"/>
    <cellStyle name="SAPBEXHLevel2 3 8 2" xfId="4168" xr:uid="{00000000-0005-0000-0000-0000C3650000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9" xfId="3385" xr:uid="{00000000-0005-0000-0000-0000DA650000}"/>
    <cellStyle name="SAPBEXHLevel2 3 9 2" xfId="4167" xr:uid="{00000000-0005-0000-0000-0000DB650000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4" xfId="879" xr:uid="{00000000-0005-0000-0000-0000F2650000}"/>
    <cellStyle name="SAPBEXHLevel2 4 10" xfId="3387" xr:uid="{00000000-0005-0000-0000-0000F3650000}"/>
    <cellStyle name="SAPBEXHLevel2 4 10 2" xfId="4924" xr:uid="{00000000-0005-0000-0000-0000F4650000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1" xfId="3388" xr:uid="{00000000-0005-0000-0000-00000B660000}"/>
    <cellStyle name="SAPBEXHLevel2 4 11 2" xfId="4166" xr:uid="{00000000-0005-0000-0000-00000C660000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2" xfId="3389" xr:uid="{00000000-0005-0000-0000-000023660000}"/>
    <cellStyle name="SAPBEXHLevel2 4 12 2" xfId="4165" xr:uid="{00000000-0005-0000-0000-000024660000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3" xfId="3390" xr:uid="{00000000-0005-0000-0000-00003B660000}"/>
    <cellStyle name="SAPBEXHLevel2 4 13 2" xfId="4164" xr:uid="{00000000-0005-0000-0000-00003C660000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4" xfId="3391" xr:uid="{00000000-0005-0000-0000-000053660000}"/>
    <cellStyle name="SAPBEXHLevel2 4 14 2" xfId="4163" xr:uid="{00000000-0005-0000-0000-000054660000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5" xfId="3392" xr:uid="{00000000-0005-0000-0000-00006B660000}"/>
    <cellStyle name="SAPBEXHLevel2 4 15 2" xfId="4162" xr:uid="{00000000-0005-0000-0000-00006C660000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6" xfId="3386" xr:uid="{00000000-0005-0000-0000-000083660000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2" xfId="3393" xr:uid="{00000000-0005-0000-0000-0000A5660000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3" xfId="4936" xr:uid="{00000000-0005-0000-0000-0000B3660000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2" xfId="3394" xr:uid="{00000000-0005-0000-0000-0000D9660000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2" xfId="4160" xr:uid="{00000000-0005-0000-0000-000001670000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5" xfId="3396" xr:uid="{00000000-0005-0000-0000-000018670000}"/>
    <cellStyle name="SAPBEXHLevel2 4 5 2" xfId="4935" xr:uid="{00000000-0005-0000-0000-00001967000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6" xfId="3397" xr:uid="{00000000-0005-0000-0000-000030670000}"/>
    <cellStyle name="SAPBEXHLevel2 4 6 2" xfId="4159" xr:uid="{00000000-0005-0000-0000-000031670000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7" xfId="3398" xr:uid="{00000000-0005-0000-0000-000048670000}"/>
    <cellStyle name="SAPBEXHLevel2 4 7 2" xfId="4158" xr:uid="{00000000-0005-0000-0000-000049670000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8" xfId="3399" xr:uid="{00000000-0005-0000-0000-000060670000}"/>
    <cellStyle name="SAPBEXHLevel2 4 8 2" xfId="4934" xr:uid="{00000000-0005-0000-0000-000061670000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9" xfId="3400" xr:uid="{00000000-0005-0000-0000-000078670000}"/>
    <cellStyle name="SAPBEXHLevel2 4 9 2" xfId="4157" xr:uid="{00000000-0005-0000-0000-000079670000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5" xfId="882" xr:uid="{00000000-0005-0000-0000-000090670000}"/>
    <cellStyle name="SAPBEXHLevel2 5 10" xfId="3402" xr:uid="{00000000-0005-0000-0000-000091670000}"/>
    <cellStyle name="SAPBEXHLevel2 5 10 2" xfId="4156" xr:uid="{00000000-0005-0000-0000-000092670000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1" xfId="3403" xr:uid="{00000000-0005-0000-0000-0000A9670000}"/>
    <cellStyle name="SAPBEXHLevel2 5 11 2" xfId="4155" xr:uid="{00000000-0005-0000-0000-0000AA670000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2" xfId="3404" xr:uid="{00000000-0005-0000-0000-0000C1670000}"/>
    <cellStyle name="SAPBEXHLevel2 5 12 2" xfId="4154" xr:uid="{00000000-0005-0000-0000-0000C2670000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3" xfId="3405" xr:uid="{00000000-0005-0000-0000-0000D9670000}"/>
    <cellStyle name="SAPBEXHLevel2 5 13 2" xfId="4153" xr:uid="{00000000-0005-0000-0000-0000DA670000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4" xfId="3406" xr:uid="{00000000-0005-0000-0000-0000F1670000}"/>
    <cellStyle name="SAPBEXHLevel2 5 14 2" xfId="4152" xr:uid="{00000000-0005-0000-0000-0000F2670000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5" xfId="3407" xr:uid="{00000000-0005-0000-0000-000009680000}"/>
    <cellStyle name="SAPBEXHLevel2 5 15 2" xfId="4151" xr:uid="{00000000-0005-0000-0000-00000A680000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6" xfId="3401" xr:uid="{00000000-0005-0000-0000-000021680000}"/>
    <cellStyle name="SAPBEXHLevel2 5 16 2" xfId="8569" xr:uid="{00000000-0005-0000-0000-000022680000}"/>
    <cellStyle name="SAPBEXHLevel2 5 16 2 2" xfId="24598" xr:uid="{00000000-0005-0000-0000-000023680000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7" xfId="4933" xr:uid="{00000000-0005-0000-0000-00002F680000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2" xfId="3408" xr:uid="{00000000-0005-0000-0000-000041680000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3" xfId="3409" xr:uid="{00000000-0005-0000-0000-000069680000}"/>
    <cellStyle name="SAPBEXHLevel2 5 3 2" xfId="4149" xr:uid="{00000000-0005-0000-0000-00006A680000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2" xfId="4148" xr:uid="{00000000-0005-0000-0000-000084680000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5" xfId="3411" xr:uid="{00000000-0005-0000-0000-00009B680000}"/>
    <cellStyle name="SAPBEXHLevel2 5 5 2" xfId="4147" xr:uid="{00000000-0005-0000-0000-00009C680000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6" xfId="3412" xr:uid="{00000000-0005-0000-0000-0000B3680000}"/>
    <cellStyle name="SAPBEXHLevel2 5 6 2" xfId="4146" xr:uid="{00000000-0005-0000-0000-0000B4680000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7" xfId="3413" xr:uid="{00000000-0005-0000-0000-0000CB680000}"/>
    <cellStyle name="SAPBEXHLevel2 5 7 2" xfId="4145" xr:uid="{00000000-0005-0000-0000-0000CC680000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8" xfId="3414" xr:uid="{00000000-0005-0000-0000-0000E3680000}"/>
    <cellStyle name="SAPBEXHLevel2 5 8 2" xfId="4144" xr:uid="{00000000-0005-0000-0000-0000E4680000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9" xfId="3415" xr:uid="{00000000-0005-0000-0000-0000FB680000}"/>
    <cellStyle name="SAPBEXHLevel2 5 9 2" xfId="4143" xr:uid="{00000000-0005-0000-0000-0000FC680000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2" xfId="885" xr:uid="{00000000-0005-0000-0000-000016690000}"/>
    <cellStyle name="SAPBEXHLevel2 6 2 2" xfId="5384" xr:uid="{00000000-0005-0000-0000-000017690000}"/>
    <cellStyle name="SAPBEXHLevel2 6 2 2 2" xfId="37527" xr:uid="{00000000-0005-0000-0000-000018690000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3" xfId="3416" xr:uid="{00000000-0005-0000-0000-00001F690000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2" xfId="887" xr:uid="{00000000-0005-0000-0000-000043690000}"/>
    <cellStyle name="SAPBEXHLevel2 7 2 2" xfId="5382" xr:uid="{00000000-0005-0000-0000-000044690000}"/>
    <cellStyle name="SAPBEXHLevel2 7 2 2 2" xfId="37111" xr:uid="{00000000-0005-0000-0000-000045690000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3" xfId="3417" xr:uid="{00000000-0005-0000-0000-00004C690000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2" xfId="889" xr:uid="{00000000-0005-0000-0000-000070690000}"/>
    <cellStyle name="SAPBEXHLevel2 8 2 2" xfId="5380" xr:uid="{00000000-0005-0000-0000-000071690000}"/>
    <cellStyle name="SAPBEXHLevel2 8 2 2 2" xfId="37525" xr:uid="{00000000-0005-0000-0000-000072690000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3" xfId="3418" xr:uid="{00000000-0005-0000-0000-000079690000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2" xfId="3419" xr:uid="{00000000-0005-0000-0000-00009C690000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2" xfId="4138" xr:uid="{00000000-0005-0000-0000-0000C1690000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1" xfId="1885" xr:uid="{00000000-0005-0000-0000-0000D8690000}"/>
    <cellStyle name="SAPBEXHLevel2X 11 2" xfId="4137" xr:uid="{00000000-0005-0000-0000-0000D9690000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2" xfId="1886" xr:uid="{00000000-0005-0000-0000-0000F0690000}"/>
    <cellStyle name="SAPBEXHLevel2X 12 2" xfId="4136" xr:uid="{00000000-0005-0000-0000-0000F1690000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3" xfId="3423" xr:uid="{00000000-0005-0000-0000-0000086A0000}"/>
    <cellStyle name="SAPBEXHLevel2X 13 2" xfId="4135" xr:uid="{00000000-0005-0000-0000-0000096A0000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4" xfId="3424" xr:uid="{00000000-0005-0000-0000-0000206A0000}"/>
    <cellStyle name="SAPBEXHLevel2X 14 2" xfId="4134" xr:uid="{00000000-0005-0000-0000-0000216A0000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5" xfId="3425" xr:uid="{00000000-0005-0000-0000-0000386A0000}"/>
    <cellStyle name="SAPBEXHLevel2X 15 2" xfId="4133" xr:uid="{00000000-0005-0000-0000-0000396A0000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6" xfId="3426" xr:uid="{00000000-0005-0000-0000-0000506A0000}"/>
    <cellStyle name="SAPBEXHLevel2X 16 2" xfId="4132" xr:uid="{00000000-0005-0000-0000-0000516A0000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7" xfId="3427" xr:uid="{00000000-0005-0000-0000-0000686A0000}"/>
    <cellStyle name="SAPBEXHLevel2X 17 2" xfId="4131" xr:uid="{00000000-0005-0000-0000-0000696A0000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8" xfId="3428" xr:uid="{00000000-0005-0000-0000-0000806A0000}"/>
    <cellStyle name="SAPBEXHLevel2X 18 2" xfId="4130" xr:uid="{00000000-0005-0000-0000-0000816A0000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9" xfId="3429" xr:uid="{00000000-0005-0000-0000-0000986A0000}"/>
    <cellStyle name="SAPBEXHLevel2X 19 2" xfId="4129" xr:uid="{00000000-0005-0000-0000-0000996A0000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2" xfId="891" xr:uid="{00000000-0005-0000-0000-0000B06A0000}"/>
    <cellStyle name="SAPBEXHLevel2X 2 10" xfId="3431" xr:uid="{00000000-0005-0000-0000-0000B16A0000}"/>
    <cellStyle name="SAPBEXHLevel2X 2 10 2" xfId="4127" xr:uid="{00000000-0005-0000-0000-0000B26A0000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1" xfId="3432" xr:uid="{00000000-0005-0000-0000-0000C96A0000}"/>
    <cellStyle name="SAPBEXHLevel2X 2 11 2" xfId="4126" xr:uid="{00000000-0005-0000-0000-0000CA6A0000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2" xfId="3433" xr:uid="{00000000-0005-0000-0000-0000E16A0000}"/>
    <cellStyle name="SAPBEXHLevel2X 2 12 2" xfId="4125" xr:uid="{00000000-0005-0000-0000-0000E26A0000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3" xfId="3434" xr:uid="{00000000-0005-0000-0000-0000F96A0000}"/>
    <cellStyle name="SAPBEXHLevel2X 2 13 2" xfId="4124" xr:uid="{00000000-0005-0000-0000-0000FA6A0000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4" xfId="3435" xr:uid="{00000000-0005-0000-0000-0000116B0000}"/>
    <cellStyle name="SAPBEXHLevel2X 2 14 2" xfId="4121" xr:uid="{00000000-0005-0000-0000-0000126B0000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5" xfId="3436" xr:uid="{00000000-0005-0000-0000-0000296B0000}"/>
    <cellStyle name="SAPBEXHLevel2X 2 15 2" xfId="4120" xr:uid="{00000000-0005-0000-0000-00002A6B0000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6" xfId="3430" xr:uid="{00000000-0005-0000-0000-0000416B0000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2" xfId="893" xr:uid="{00000000-0005-0000-0000-0000646B0000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3" xfId="3437" xr:uid="{00000000-0005-0000-0000-0000726B0000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4" xfId="4119" xr:uid="{00000000-0005-0000-0000-0000806B0000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3" xfId="3438" xr:uid="{00000000-0005-0000-0000-0000A16B0000}"/>
    <cellStyle name="SAPBEXHLevel2X 2 3 2" xfId="4118" xr:uid="{00000000-0005-0000-0000-0000A26B0000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4" xfId="3439" xr:uid="{00000000-0005-0000-0000-0000B96B0000}"/>
    <cellStyle name="SAPBEXHLevel2X 2 4 2" xfId="4117" xr:uid="{00000000-0005-0000-0000-0000BA6B0000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5" xfId="3440" xr:uid="{00000000-0005-0000-0000-0000D16B0000}"/>
    <cellStyle name="SAPBEXHLevel2X 2 5 2" xfId="4116" xr:uid="{00000000-0005-0000-0000-0000D26B0000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6" xfId="3441" xr:uid="{00000000-0005-0000-0000-0000E96B0000}"/>
    <cellStyle name="SAPBEXHLevel2X 2 6 2" xfId="4115" xr:uid="{00000000-0005-0000-0000-0000EA6B0000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7" xfId="3442" xr:uid="{00000000-0005-0000-0000-0000016C0000}"/>
    <cellStyle name="SAPBEXHLevel2X 2 7 2" xfId="4114" xr:uid="{00000000-0005-0000-0000-0000026C0000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8" xfId="3443" xr:uid="{00000000-0005-0000-0000-0000196C0000}"/>
    <cellStyle name="SAPBEXHLevel2X 2 8 2" xfId="4113" xr:uid="{00000000-0005-0000-0000-00001A6C0000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9" xfId="3444" xr:uid="{00000000-0005-0000-0000-0000316C0000}"/>
    <cellStyle name="SAPBEXHLevel2X 2 9 2" xfId="4112" xr:uid="{00000000-0005-0000-0000-0000326C0000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0" xfId="4897" xr:uid="{00000000-0005-0000-0000-0000496C0000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3" xfId="894" xr:uid="{00000000-0005-0000-0000-0000606C0000}"/>
    <cellStyle name="SAPBEXHLevel2X 3 10" xfId="3446" xr:uid="{00000000-0005-0000-0000-0000616C0000}"/>
    <cellStyle name="SAPBEXHLevel2X 3 10 2" xfId="4110" xr:uid="{00000000-0005-0000-0000-0000626C0000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1" xfId="3447" xr:uid="{00000000-0005-0000-0000-0000796C0000}"/>
    <cellStyle name="SAPBEXHLevel2X 3 11 2" xfId="4109" xr:uid="{00000000-0005-0000-0000-00007A6C0000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2" xfId="3448" xr:uid="{00000000-0005-0000-0000-0000916C0000}"/>
    <cellStyle name="SAPBEXHLevel2X 3 12 2" xfId="4108" xr:uid="{00000000-0005-0000-0000-0000926C0000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3" xfId="3449" xr:uid="{00000000-0005-0000-0000-0000A96C0000}"/>
    <cellStyle name="SAPBEXHLevel2X 3 13 2" xfId="4107" xr:uid="{00000000-0005-0000-0000-0000AA6C0000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4" xfId="3450" xr:uid="{00000000-0005-0000-0000-0000C16C0000}"/>
    <cellStyle name="SAPBEXHLevel2X 3 14 2" xfId="4106" xr:uid="{00000000-0005-0000-0000-0000C26C0000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5" xfId="3451" xr:uid="{00000000-0005-0000-0000-0000D96C0000}"/>
    <cellStyle name="SAPBEXHLevel2X 3 15 2" xfId="4105" xr:uid="{00000000-0005-0000-0000-0000DA6C0000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6" xfId="4111" xr:uid="{00000000-0005-0000-0000-0000F16C0000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7" xfId="5375" xr:uid="{00000000-0005-0000-0000-0000FE6C0000}"/>
    <cellStyle name="SAPBEXHLevel2X 3 17 2" xfId="22645" xr:uid="{00000000-0005-0000-0000-0000FF6C0000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2" xfId="3452" xr:uid="{00000000-0005-0000-0000-0000066D0000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3" xfId="4104" xr:uid="{00000000-0005-0000-0000-0000146D0000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3" xfId="1999" xr:uid="{00000000-0005-0000-0000-0000356D0000}"/>
    <cellStyle name="SAPBEXHLevel2X 3 3 2" xfId="4103" xr:uid="{00000000-0005-0000-0000-0000366D0000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4" xfId="3454" xr:uid="{00000000-0005-0000-0000-00004E6D0000}"/>
    <cellStyle name="SAPBEXHLevel2X 3 4 2" xfId="4102" xr:uid="{00000000-0005-0000-0000-00004F6D0000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5" xfId="3455" xr:uid="{00000000-0005-0000-0000-0000666D0000}"/>
    <cellStyle name="SAPBEXHLevel2X 3 5 2" xfId="4101" xr:uid="{00000000-0005-0000-0000-0000676D0000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6" xfId="3456" xr:uid="{00000000-0005-0000-0000-00007E6D0000}"/>
    <cellStyle name="SAPBEXHLevel2X 3 6 2" xfId="4100" xr:uid="{00000000-0005-0000-0000-00007F6D0000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7" xfId="3457" xr:uid="{00000000-0005-0000-0000-0000966D0000}"/>
    <cellStyle name="SAPBEXHLevel2X 3 7 2" xfId="4099" xr:uid="{00000000-0005-0000-0000-0000976D0000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8" xfId="3458" xr:uid="{00000000-0005-0000-0000-0000AE6D0000}"/>
    <cellStyle name="SAPBEXHLevel2X 3 8 2" xfId="4098" xr:uid="{00000000-0005-0000-0000-0000AF6D0000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9" xfId="3459" xr:uid="{00000000-0005-0000-0000-0000C66D0000}"/>
    <cellStyle name="SAPBEXHLevel2X 3 9 2" xfId="4097" xr:uid="{00000000-0005-0000-0000-0000C76D0000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4" xfId="896" xr:uid="{00000000-0005-0000-0000-0000DE6D0000}"/>
    <cellStyle name="SAPBEXHLevel2X 4 10" xfId="3461" xr:uid="{00000000-0005-0000-0000-0000DF6D0000}"/>
    <cellStyle name="SAPBEXHLevel2X 4 10 2" xfId="4095" xr:uid="{00000000-0005-0000-0000-0000E06D0000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1" xfId="3462" xr:uid="{00000000-0005-0000-0000-0000F76D0000}"/>
    <cellStyle name="SAPBEXHLevel2X 4 11 2" xfId="4094" xr:uid="{00000000-0005-0000-0000-0000F86D0000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2" xfId="3463" xr:uid="{00000000-0005-0000-0000-00000F6E0000}"/>
    <cellStyle name="SAPBEXHLevel2X 4 12 2" xfId="4093" xr:uid="{00000000-0005-0000-0000-0000106E0000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3" xfId="3464" xr:uid="{00000000-0005-0000-0000-0000276E0000}"/>
    <cellStyle name="SAPBEXHLevel2X 4 13 2" xfId="4092" xr:uid="{00000000-0005-0000-0000-0000286E0000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4" xfId="3465" xr:uid="{00000000-0005-0000-0000-00003F6E0000}"/>
    <cellStyle name="SAPBEXHLevel2X 4 14 2" xfId="4089" xr:uid="{00000000-0005-0000-0000-0000406E0000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5" xfId="3466" xr:uid="{00000000-0005-0000-0000-0000576E0000}"/>
    <cellStyle name="SAPBEXHLevel2X 4 15 2" xfId="4088" xr:uid="{00000000-0005-0000-0000-0000586E0000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6" xfId="3460" xr:uid="{00000000-0005-0000-0000-00006F6E0000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7" xfId="4096" xr:uid="{00000000-0005-0000-0000-00007D6E0000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2" xfId="3467" xr:uid="{00000000-0005-0000-0000-0000916E0000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3" xfId="4087" xr:uid="{00000000-0005-0000-0000-00009F6E0000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2" xfId="3468" xr:uid="{00000000-0005-0000-0000-0000C56E0000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2" xfId="4085" xr:uid="{00000000-0005-0000-0000-0000ED6E0000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5" xfId="3470" xr:uid="{00000000-0005-0000-0000-0000056F0000}"/>
    <cellStyle name="SAPBEXHLevel2X 4 5 2" xfId="4084" xr:uid="{00000000-0005-0000-0000-0000066F0000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6" xfId="3471" xr:uid="{00000000-0005-0000-0000-00001D6F0000}"/>
    <cellStyle name="SAPBEXHLevel2X 4 6 2" xfId="4083" xr:uid="{00000000-0005-0000-0000-00001E6F0000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7" xfId="3472" xr:uid="{00000000-0005-0000-0000-0000356F0000}"/>
    <cellStyle name="SAPBEXHLevel2X 4 7 2" xfId="4082" xr:uid="{00000000-0005-0000-0000-0000366F0000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8" xfId="3473" xr:uid="{00000000-0005-0000-0000-00004D6F0000}"/>
    <cellStyle name="SAPBEXHLevel2X 4 8 2" xfId="4081" xr:uid="{00000000-0005-0000-0000-00004E6F0000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9" xfId="3474" xr:uid="{00000000-0005-0000-0000-0000656F0000}"/>
    <cellStyle name="SAPBEXHLevel2X 4 9 2" xfId="4080" xr:uid="{00000000-0005-0000-0000-0000666F0000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5" xfId="899" xr:uid="{00000000-0005-0000-0000-00007D6F0000}"/>
    <cellStyle name="SAPBEXHLevel2X 5 10" xfId="3476" xr:uid="{00000000-0005-0000-0000-00007E6F0000}"/>
    <cellStyle name="SAPBEXHLevel2X 5 10 2" xfId="4078" xr:uid="{00000000-0005-0000-0000-00007F6F0000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1" xfId="3477" xr:uid="{00000000-0005-0000-0000-0000966F0000}"/>
    <cellStyle name="SAPBEXHLevel2X 5 11 2" xfId="4077" xr:uid="{00000000-0005-0000-0000-0000976F0000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2" xfId="3478" xr:uid="{00000000-0005-0000-0000-0000AE6F0000}"/>
    <cellStyle name="SAPBEXHLevel2X 5 12 2" xfId="4076" xr:uid="{00000000-0005-0000-0000-0000AF6F0000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3" xfId="3479" xr:uid="{00000000-0005-0000-0000-0000C66F0000}"/>
    <cellStyle name="SAPBEXHLevel2X 5 13 2" xfId="4075" xr:uid="{00000000-0005-0000-0000-0000C76F0000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4" xfId="3480" xr:uid="{00000000-0005-0000-0000-0000DE6F0000}"/>
    <cellStyle name="SAPBEXHLevel2X 5 14 2" xfId="4074" xr:uid="{00000000-0005-0000-0000-0000DF6F0000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5" xfId="3481" xr:uid="{00000000-0005-0000-0000-0000F66F0000}"/>
    <cellStyle name="SAPBEXHLevel2X 5 15 2" xfId="4073" xr:uid="{00000000-0005-0000-0000-0000F76F000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6" xfId="3475" xr:uid="{00000000-0005-0000-0000-00000E700000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7" xfId="4079" xr:uid="{00000000-0005-0000-0000-00001C700000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2" xfId="3482" xr:uid="{00000000-0005-0000-0000-00002F700000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3" xfId="3483" xr:uid="{00000000-0005-0000-0000-000060700000}"/>
    <cellStyle name="SAPBEXHLevel2X 5 3 2" xfId="4071" xr:uid="{00000000-0005-0000-0000-000061700000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4" xfId="3484" xr:uid="{00000000-0005-0000-0000-000079700000}"/>
    <cellStyle name="SAPBEXHLevel2X 5 4 2" xfId="4070" xr:uid="{00000000-0005-0000-0000-00007A700000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5" xfId="3485" xr:uid="{00000000-0005-0000-0000-000091700000}"/>
    <cellStyle name="SAPBEXHLevel2X 5 5 2" xfId="4069" xr:uid="{00000000-0005-0000-0000-000092700000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6" xfId="3486" xr:uid="{00000000-0005-0000-0000-0000A9700000}"/>
    <cellStyle name="SAPBEXHLevel2X 5 6 2" xfId="4068" xr:uid="{00000000-0005-0000-0000-0000AA700000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7" xfId="3487" xr:uid="{00000000-0005-0000-0000-0000C1700000}"/>
    <cellStyle name="SAPBEXHLevel2X 5 7 2" xfId="4067" xr:uid="{00000000-0005-0000-0000-0000C2700000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8" xfId="3488" xr:uid="{00000000-0005-0000-0000-0000D9700000}"/>
    <cellStyle name="SAPBEXHLevel2X 5 8 2" xfId="4066" xr:uid="{00000000-0005-0000-0000-0000DA70000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9" xfId="3489" xr:uid="{00000000-0005-0000-0000-0000F1700000}"/>
    <cellStyle name="SAPBEXHLevel2X 5 9 2" xfId="4065" xr:uid="{00000000-0005-0000-0000-0000F2700000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2" xfId="1887" xr:uid="{00000000-0005-0000-0000-00000D710000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2" xfId="3491" xr:uid="{00000000-0005-0000-0000-000042710000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2" xfId="2138" xr:uid="{00000000-0005-0000-0000-00006A710000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9" xfId="1889" xr:uid="{00000000-0005-0000-0000-000081710000}"/>
    <cellStyle name="SAPBEXHLevel2X 9 2" xfId="3665" xr:uid="{00000000-0005-0000-0000-000082710000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2" xfId="3494" xr:uid="{00000000-0005-0000-0000-00009D710000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2" xfId="4061" xr:uid="{00000000-0005-0000-0000-0000C0710000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2" xfId="1893" xr:uid="{00000000-0005-0000-0000-0000D7710000}"/>
    <cellStyle name="SAPBEXHLevel3 12 2" xfId="4060" xr:uid="{00000000-0005-0000-0000-0000D8710000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3" xfId="3497" xr:uid="{00000000-0005-0000-0000-0000EF710000}"/>
    <cellStyle name="SAPBEXHLevel3 13 2" xfId="4059" xr:uid="{00000000-0005-0000-0000-0000F0710000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4" xfId="3498" xr:uid="{00000000-0005-0000-0000-000007720000}"/>
    <cellStyle name="SAPBEXHLevel3 14 2" xfId="4058" xr:uid="{00000000-0005-0000-0000-000008720000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5" xfId="3499" xr:uid="{00000000-0005-0000-0000-00001F720000}"/>
    <cellStyle name="SAPBEXHLevel3 15 2" xfId="4057" xr:uid="{00000000-0005-0000-0000-000020720000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6" xfId="3500" xr:uid="{00000000-0005-0000-0000-000037720000}"/>
    <cellStyle name="SAPBEXHLevel3 16 2" xfId="4056" xr:uid="{00000000-0005-0000-0000-000038720000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7" xfId="3501" xr:uid="{00000000-0005-0000-0000-00004F720000}"/>
    <cellStyle name="SAPBEXHLevel3 17 2" xfId="4055" xr:uid="{00000000-0005-0000-0000-000050720000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8" xfId="3502" xr:uid="{00000000-0005-0000-0000-000067720000}"/>
    <cellStyle name="SAPBEXHLevel3 18 2" xfId="4054" xr:uid="{00000000-0005-0000-0000-000068720000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9" xfId="3503" xr:uid="{00000000-0005-0000-0000-00007F720000}"/>
    <cellStyle name="SAPBEXHLevel3 19 2" xfId="4053" xr:uid="{00000000-0005-0000-0000-00008072000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2" xfId="903" xr:uid="{00000000-0005-0000-0000-000097720000}"/>
    <cellStyle name="SAPBEXHLevel3 2 10" xfId="3505" xr:uid="{00000000-0005-0000-0000-000098720000}"/>
    <cellStyle name="SAPBEXHLevel3 2 10 2" xfId="4051" xr:uid="{00000000-0005-0000-0000-000099720000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1" xfId="3506" xr:uid="{00000000-0005-0000-0000-0000B0720000}"/>
    <cellStyle name="SAPBEXHLevel3 2 11 2" xfId="4050" xr:uid="{00000000-0005-0000-0000-0000B172000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2" xfId="3507" xr:uid="{00000000-0005-0000-0000-0000C8720000}"/>
    <cellStyle name="SAPBEXHLevel3 2 12 2" xfId="4048" xr:uid="{00000000-0005-0000-0000-0000C9720000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3" xfId="3508" xr:uid="{00000000-0005-0000-0000-0000E0720000}"/>
    <cellStyle name="SAPBEXHLevel3 2 13 2" xfId="4925" xr:uid="{00000000-0005-0000-0000-0000E1720000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4" xfId="3509" xr:uid="{00000000-0005-0000-0000-0000F8720000}"/>
    <cellStyle name="SAPBEXHLevel3 2 14 2" xfId="4047" xr:uid="{00000000-0005-0000-0000-0000F972000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5" xfId="3510" xr:uid="{00000000-0005-0000-0000-000010730000}"/>
    <cellStyle name="SAPBEXHLevel3 2 15 2" xfId="3680" xr:uid="{00000000-0005-0000-0000-000011730000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6" xfId="3504" xr:uid="{00000000-0005-0000-0000-000028730000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2" xfId="905" xr:uid="{00000000-0005-0000-0000-00004A73000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3" xfId="3511" xr:uid="{00000000-0005-0000-0000-000058730000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4" xfId="2139" xr:uid="{00000000-0005-0000-0000-000066730000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3" xfId="1894" xr:uid="{00000000-0005-0000-0000-000083730000}"/>
    <cellStyle name="SAPBEXHLevel3 2 3 10" xfId="23062" xr:uid="{00000000-0005-0000-0000-000084730000}"/>
    <cellStyle name="SAPBEXHLevel3 2 3 2" xfId="3512" xr:uid="{00000000-0005-0000-0000-000085730000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2" xfId="3513" xr:uid="{00000000-0005-0000-0000-0000A9730000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2" xfId="4045" xr:uid="{00000000-0005-0000-0000-0000CC730000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6" xfId="3515" xr:uid="{00000000-0005-0000-0000-0000E3730000}"/>
    <cellStyle name="SAPBEXHLevel3 2 6 2" xfId="4044" xr:uid="{00000000-0005-0000-0000-0000E4730000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7" xfId="3516" xr:uid="{00000000-0005-0000-0000-0000FB730000}"/>
    <cellStyle name="SAPBEXHLevel3 2 7 2" xfId="4043" xr:uid="{00000000-0005-0000-0000-0000FC73000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8" xfId="3517" xr:uid="{00000000-0005-0000-0000-000013740000}"/>
    <cellStyle name="SAPBEXHLevel3 2 8 2" xfId="4042" xr:uid="{00000000-0005-0000-0000-000014740000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9" xfId="3518" xr:uid="{00000000-0005-0000-0000-00002B740000}"/>
    <cellStyle name="SAPBEXHLevel3 2 9 2" xfId="4041" xr:uid="{00000000-0005-0000-0000-00002C740000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0" xfId="4896" xr:uid="{00000000-0005-0000-0000-000043740000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3" xfId="906" xr:uid="{00000000-0005-0000-0000-00005A740000}"/>
    <cellStyle name="SAPBEXHLevel3 3 10" xfId="3520" xr:uid="{00000000-0005-0000-0000-00005B740000}"/>
    <cellStyle name="SAPBEXHLevel3 3 10 2" xfId="4039" xr:uid="{00000000-0005-0000-0000-00005C740000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1" xfId="3521" xr:uid="{00000000-0005-0000-0000-000073740000}"/>
    <cellStyle name="SAPBEXHLevel3 3 11 2" xfId="4038" xr:uid="{00000000-0005-0000-0000-000074740000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2" xfId="3522" xr:uid="{00000000-0005-0000-0000-00008B740000}"/>
    <cellStyle name="SAPBEXHLevel3 3 12 2" xfId="4037" xr:uid="{00000000-0005-0000-0000-00008C740000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3" xfId="3523" xr:uid="{00000000-0005-0000-0000-0000A3740000}"/>
    <cellStyle name="SAPBEXHLevel3 3 13 2" xfId="4036" xr:uid="{00000000-0005-0000-0000-0000A4740000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4" xfId="3524" xr:uid="{00000000-0005-0000-0000-0000BB740000}"/>
    <cellStyle name="SAPBEXHLevel3 3 14 2" xfId="4035" xr:uid="{00000000-0005-0000-0000-0000BC740000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5" xfId="3525" xr:uid="{00000000-0005-0000-0000-0000D3740000}"/>
    <cellStyle name="SAPBEXHLevel3 3 15 2" xfId="4034" xr:uid="{00000000-0005-0000-0000-0000D4740000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6" xfId="4040" xr:uid="{00000000-0005-0000-0000-0000EB740000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2" xfId="4033" xr:uid="{00000000-0005-0000-0000-0000FF740000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3" xfId="3527" xr:uid="{00000000-0005-0000-0000-00001B750000}"/>
    <cellStyle name="SAPBEXHLevel3 3 3 2" xfId="4032" xr:uid="{00000000-0005-0000-0000-00001C750000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4" xfId="3528" xr:uid="{00000000-0005-0000-0000-000033750000}"/>
    <cellStyle name="SAPBEXHLevel3 3 4 2" xfId="4031" xr:uid="{00000000-0005-0000-0000-000034750000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5" xfId="3529" xr:uid="{00000000-0005-0000-0000-00004B750000}"/>
    <cellStyle name="SAPBEXHLevel3 3 5 2" xfId="4030" xr:uid="{00000000-0005-0000-0000-00004C750000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6" xfId="3530" xr:uid="{00000000-0005-0000-0000-000063750000}"/>
    <cellStyle name="SAPBEXHLevel3 3 6 2" xfId="2140" xr:uid="{00000000-0005-0000-0000-000064750000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7" xfId="3531" xr:uid="{00000000-0005-0000-0000-00007B750000}"/>
    <cellStyle name="SAPBEXHLevel3 3 7 2" xfId="4029" xr:uid="{00000000-0005-0000-0000-00007C750000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8" xfId="3532" xr:uid="{00000000-0005-0000-0000-000093750000}"/>
    <cellStyle name="SAPBEXHLevel3 3 8 2" xfId="4028" xr:uid="{00000000-0005-0000-0000-000094750000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9" xfId="3533" xr:uid="{00000000-0005-0000-0000-0000AB750000}"/>
    <cellStyle name="SAPBEXHLevel3 3 9 2" xfId="4027" xr:uid="{00000000-0005-0000-0000-0000AC750000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4" xfId="907" xr:uid="{00000000-0005-0000-0000-0000C3750000}"/>
    <cellStyle name="SAPBEXHLevel3 4 10" xfId="3535" xr:uid="{00000000-0005-0000-0000-0000C4750000}"/>
    <cellStyle name="SAPBEXHLevel3 4 10 2" xfId="4025" xr:uid="{00000000-0005-0000-0000-0000C5750000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1" xfId="3536" xr:uid="{00000000-0005-0000-0000-0000DC750000}"/>
    <cellStyle name="SAPBEXHLevel3 4 11 2" xfId="4024" xr:uid="{00000000-0005-0000-0000-0000DD75000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2" xfId="3537" xr:uid="{00000000-0005-0000-0000-0000F4750000}"/>
    <cellStyle name="SAPBEXHLevel3 4 12 2" xfId="4023" xr:uid="{00000000-0005-0000-0000-0000F5750000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3" xfId="3538" xr:uid="{00000000-0005-0000-0000-00000C760000}"/>
    <cellStyle name="SAPBEXHLevel3 4 13 2" xfId="4022" xr:uid="{00000000-0005-0000-0000-00000D760000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4" xfId="3539" xr:uid="{00000000-0005-0000-0000-000024760000}"/>
    <cellStyle name="SAPBEXHLevel3 4 14 2" xfId="4021" xr:uid="{00000000-0005-0000-0000-000025760000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5" xfId="3540" xr:uid="{00000000-0005-0000-0000-00003C760000}"/>
    <cellStyle name="SAPBEXHLevel3 4 15 2" xfId="3701" xr:uid="{00000000-0005-0000-0000-00003D760000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6" xfId="3534" xr:uid="{00000000-0005-0000-0000-000054760000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2" xfId="3541" xr:uid="{00000000-0005-0000-0000-000076760000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3" xfId="4020" xr:uid="{00000000-0005-0000-0000-000084760000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2" xfId="3542" xr:uid="{00000000-0005-0000-0000-0000AA760000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2" xfId="4018" xr:uid="{00000000-0005-0000-0000-0000D2760000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5" xfId="3544" xr:uid="{00000000-0005-0000-0000-0000E9760000}"/>
    <cellStyle name="SAPBEXHLevel3 4 5 2" xfId="3708" xr:uid="{00000000-0005-0000-0000-0000EA760000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6" xfId="3545" xr:uid="{00000000-0005-0000-0000-000001770000}"/>
    <cellStyle name="SAPBEXHLevel3 4 6 2" xfId="4932" xr:uid="{00000000-0005-0000-0000-000002770000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7" xfId="3546" xr:uid="{00000000-0005-0000-0000-000019770000}"/>
    <cellStyle name="SAPBEXHLevel3 4 7 2" xfId="4017" xr:uid="{00000000-0005-0000-0000-00001A770000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8" xfId="3547" xr:uid="{00000000-0005-0000-0000-000031770000}"/>
    <cellStyle name="SAPBEXHLevel3 4 8 2" xfId="4016" xr:uid="{00000000-0005-0000-0000-000032770000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9" xfId="3548" xr:uid="{00000000-0005-0000-0000-000049770000}"/>
    <cellStyle name="SAPBEXHLevel3 4 9 2" xfId="3711" xr:uid="{00000000-0005-0000-0000-00004A770000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5" xfId="910" xr:uid="{00000000-0005-0000-0000-000061770000}"/>
    <cellStyle name="SAPBEXHLevel3 5 10" xfId="3550" xr:uid="{00000000-0005-0000-0000-000062770000}"/>
    <cellStyle name="SAPBEXHLevel3 5 10 2" xfId="4014" xr:uid="{00000000-0005-0000-0000-000063770000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1" xfId="3551" xr:uid="{00000000-0005-0000-0000-00007A770000}"/>
    <cellStyle name="SAPBEXHLevel3 5 11 2" xfId="4013" xr:uid="{00000000-0005-0000-0000-00007B770000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2" xfId="3552" xr:uid="{00000000-0005-0000-0000-000092770000}"/>
    <cellStyle name="SAPBEXHLevel3 5 12 2" xfId="3713" xr:uid="{00000000-0005-0000-0000-000093770000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3" xfId="3553" xr:uid="{00000000-0005-0000-0000-0000AA770000}"/>
    <cellStyle name="SAPBEXHLevel3 5 13 2" xfId="4012" xr:uid="{00000000-0005-0000-0000-0000AB770000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4" xfId="3554" xr:uid="{00000000-0005-0000-0000-0000C2770000}"/>
    <cellStyle name="SAPBEXHLevel3 5 14 2" xfId="4011" xr:uid="{00000000-0005-0000-0000-0000C3770000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5" xfId="3555" xr:uid="{00000000-0005-0000-0000-0000DA770000}"/>
    <cellStyle name="SAPBEXHLevel3 5 15 2" xfId="4010" xr:uid="{00000000-0005-0000-0000-0000DB770000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6" xfId="3549" xr:uid="{00000000-0005-0000-0000-0000F2770000}"/>
    <cellStyle name="SAPBEXHLevel3 5 16 2" xfId="8717" xr:uid="{00000000-0005-0000-0000-0000F3770000}"/>
    <cellStyle name="SAPBEXHLevel3 5 16 2 2" xfId="24746" xr:uid="{00000000-0005-0000-0000-0000F4770000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7" xfId="4015" xr:uid="{00000000-0005-0000-0000-000000780000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2" xfId="3556" xr:uid="{00000000-0005-0000-0000-000012780000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3" xfId="3557" xr:uid="{00000000-0005-0000-0000-00003A780000}"/>
    <cellStyle name="SAPBEXHLevel3 5 3 2" xfId="4008" xr:uid="{00000000-0005-0000-0000-00003B780000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2" xfId="4007" xr:uid="{00000000-0005-0000-0000-000055780000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5" xfId="3559" xr:uid="{00000000-0005-0000-0000-00006C780000}"/>
    <cellStyle name="SAPBEXHLevel3 5 5 2" xfId="4931" xr:uid="{00000000-0005-0000-0000-00006D780000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6" xfId="3560" xr:uid="{00000000-0005-0000-0000-000084780000}"/>
    <cellStyle name="SAPBEXHLevel3 5 6 2" xfId="4006" xr:uid="{00000000-0005-0000-0000-000085780000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7" xfId="3561" xr:uid="{00000000-0005-0000-0000-00009C780000}"/>
    <cellStyle name="SAPBEXHLevel3 5 7 2" xfId="4005" xr:uid="{00000000-0005-0000-0000-00009D780000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8" xfId="3562" xr:uid="{00000000-0005-0000-0000-0000B4780000}"/>
    <cellStyle name="SAPBEXHLevel3 5 8 2" xfId="4930" xr:uid="{00000000-0005-0000-0000-0000B5780000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9" xfId="3563" xr:uid="{00000000-0005-0000-0000-0000CC780000}"/>
    <cellStyle name="SAPBEXHLevel3 5 9 2" xfId="2141" xr:uid="{00000000-0005-0000-0000-0000CD780000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2" xfId="913" xr:uid="{00000000-0005-0000-0000-0000E7780000}"/>
    <cellStyle name="SAPBEXHLevel3 6 2 2" xfId="5356" xr:uid="{00000000-0005-0000-0000-0000E8780000}"/>
    <cellStyle name="SAPBEXHLevel3 6 2 2 2" xfId="37105" xr:uid="{00000000-0005-0000-0000-0000E9780000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3" xfId="3564" xr:uid="{00000000-0005-0000-0000-0000F0780000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2" xfId="915" xr:uid="{00000000-0005-0000-0000-000014790000}"/>
    <cellStyle name="SAPBEXHLevel3 7 2 2" xfId="5354" xr:uid="{00000000-0005-0000-0000-000015790000}"/>
    <cellStyle name="SAPBEXHLevel3 7 2 2 2" xfId="37103" xr:uid="{00000000-0005-0000-0000-000016790000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3" xfId="3565" xr:uid="{00000000-0005-0000-0000-00001D790000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2" xfId="917" xr:uid="{00000000-0005-0000-0000-000041790000}"/>
    <cellStyle name="SAPBEXHLevel3 8 2 2" xfId="5352" xr:uid="{00000000-0005-0000-0000-000042790000}"/>
    <cellStyle name="SAPBEXHLevel3 8 2 2 2" xfId="37101" xr:uid="{00000000-0005-0000-0000-000043790000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3" xfId="3566" xr:uid="{00000000-0005-0000-0000-00004A790000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2" xfId="3567" xr:uid="{00000000-0005-0000-0000-00006D790000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2" xfId="4001" xr:uid="{00000000-0005-0000-0000-000092790000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1" xfId="1898" xr:uid="{00000000-0005-0000-0000-0000A9790000}"/>
    <cellStyle name="SAPBEXHLevel3X 11 2" xfId="4000" xr:uid="{00000000-0005-0000-0000-0000AA790000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2" xfId="1899" xr:uid="{00000000-0005-0000-0000-0000C1790000}"/>
    <cellStyle name="SAPBEXHLevel3X 12 2" xfId="3999" xr:uid="{00000000-0005-0000-0000-0000C279000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3" xfId="3571" xr:uid="{00000000-0005-0000-0000-0000D9790000}"/>
    <cellStyle name="SAPBEXHLevel3X 13 2" xfId="3998" xr:uid="{00000000-0005-0000-0000-0000DA79000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4" xfId="3572" xr:uid="{00000000-0005-0000-0000-0000F1790000}"/>
    <cellStyle name="SAPBEXHLevel3X 14 2" xfId="3997" xr:uid="{00000000-0005-0000-0000-0000F2790000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5" xfId="3573" xr:uid="{00000000-0005-0000-0000-0000097A0000}"/>
    <cellStyle name="SAPBEXHLevel3X 15 2" xfId="3725" xr:uid="{00000000-0005-0000-0000-00000A7A0000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6" xfId="3574" xr:uid="{00000000-0005-0000-0000-0000217A0000}"/>
    <cellStyle name="SAPBEXHLevel3X 16 2" xfId="4953" xr:uid="{00000000-0005-0000-0000-0000227A0000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7" xfId="3575" xr:uid="{00000000-0005-0000-0000-0000397A0000}"/>
    <cellStyle name="SAPBEXHLevel3X 17 2" xfId="4928" xr:uid="{00000000-0005-0000-0000-00003A7A0000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8" xfId="3576" xr:uid="{00000000-0005-0000-0000-0000517A0000}"/>
    <cellStyle name="SAPBEXHLevel3X 18 2" xfId="4926" xr:uid="{00000000-0005-0000-0000-0000527A0000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9" xfId="3577" xr:uid="{00000000-0005-0000-0000-0000697A0000}"/>
    <cellStyle name="SAPBEXHLevel3X 19 2" xfId="4927" xr:uid="{00000000-0005-0000-0000-00006A7A0000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2" xfId="919" xr:uid="{00000000-0005-0000-0000-0000817A0000}"/>
    <cellStyle name="SAPBEXHLevel3X 2 10" xfId="3579" xr:uid="{00000000-0005-0000-0000-0000827A0000}"/>
    <cellStyle name="SAPBEXHLevel3X 2 10 2" xfId="3995" xr:uid="{00000000-0005-0000-0000-0000837A0000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1" xfId="3580" xr:uid="{00000000-0005-0000-0000-00009A7A0000}"/>
    <cellStyle name="SAPBEXHLevel3X 2 11 2" xfId="3994" xr:uid="{00000000-0005-0000-0000-00009B7A0000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2" xfId="3581" xr:uid="{00000000-0005-0000-0000-0000B27A0000}"/>
    <cellStyle name="SAPBEXHLevel3X 2 12 2" xfId="4952" xr:uid="{00000000-0005-0000-0000-0000B37A0000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3" xfId="3582" xr:uid="{00000000-0005-0000-0000-0000CA7A0000}"/>
    <cellStyle name="SAPBEXHLevel3X 2 13 2" xfId="4954" xr:uid="{00000000-0005-0000-0000-0000CB7A0000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4" xfId="3583" xr:uid="{00000000-0005-0000-0000-0000E27A0000}"/>
    <cellStyle name="SAPBEXHLevel3X 2 14 2" xfId="2891" xr:uid="{00000000-0005-0000-0000-0000E37A0000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5" xfId="3584" xr:uid="{00000000-0005-0000-0000-0000FA7A0000}"/>
    <cellStyle name="SAPBEXHLevel3X 2 15 2" xfId="3993" xr:uid="{00000000-0005-0000-0000-0000FB7A0000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6" xfId="3578" xr:uid="{00000000-0005-0000-0000-0000127B000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2" xfId="921" xr:uid="{00000000-0005-0000-0000-0000357B0000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3" xfId="3585" xr:uid="{00000000-0005-0000-0000-0000437B0000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4" xfId="3992" xr:uid="{00000000-0005-0000-0000-0000517B0000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3" xfId="3586" xr:uid="{00000000-0005-0000-0000-0000727B0000}"/>
    <cellStyle name="SAPBEXHLevel3X 2 3 2" xfId="3991" xr:uid="{00000000-0005-0000-0000-0000737B0000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4" xfId="3587" xr:uid="{00000000-0005-0000-0000-00008A7B0000}"/>
    <cellStyle name="SAPBEXHLevel3X 2 4 2" xfId="3989" xr:uid="{00000000-0005-0000-0000-00008B7B0000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5" xfId="3588" xr:uid="{00000000-0005-0000-0000-0000A27B0000}"/>
    <cellStyle name="SAPBEXHLevel3X 2 5 2" xfId="3988" xr:uid="{00000000-0005-0000-0000-0000A37B0000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6" xfId="3589" xr:uid="{00000000-0005-0000-0000-0000BA7B0000}"/>
    <cellStyle name="SAPBEXHLevel3X 2 6 2" xfId="3987" xr:uid="{00000000-0005-0000-0000-0000BB7B0000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7" xfId="3590" xr:uid="{00000000-0005-0000-0000-0000D27B0000}"/>
    <cellStyle name="SAPBEXHLevel3X 2 7 2" xfId="3986" xr:uid="{00000000-0005-0000-0000-0000D37B0000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8" xfId="3591" xr:uid="{00000000-0005-0000-0000-0000EA7B0000}"/>
    <cellStyle name="SAPBEXHLevel3X 2 8 2" xfId="3985" xr:uid="{00000000-0005-0000-0000-0000EB7B0000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9" xfId="3592" xr:uid="{00000000-0005-0000-0000-0000027C0000}"/>
    <cellStyle name="SAPBEXHLevel3X 2 9 2" xfId="3984" xr:uid="{00000000-0005-0000-0000-0000037C0000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0" xfId="4895" xr:uid="{00000000-0005-0000-0000-00001A7C0000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3" xfId="922" xr:uid="{00000000-0005-0000-0000-0000317C0000}"/>
    <cellStyle name="SAPBEXHLevel3X 3 10" xfId="3594" xr:uid="{00000000-0005-0000-0000-0000327C0000}"/>
    <cellStyle name="SAPBEXHLevel3X 3 10 2" xfId="2142" xr:uid="{00000000-0005-0000-0000-0000337C0000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1" xfId="3595" xr:uid="{00000000-0005-0000-0000-00004A7C0000}"/>
    <cellStyle name="SAPBEXHLevel3X 3 11 2" xfId="3982" xr:uid="{00000000-0005-0000-0000-00004B7C0000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2" xfId="3596" xr:uid="{00000000-0005-0000-0000-0000627C0000}"/>
    <cellStyle name="SAPBEXHLevel3X 3 12 2" xfId="3981" xr:uid="{00000000-0005-0000-0000-0000637C0000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3" xfId="3597" xr:uid="{00000000-0005-0000-0000-00007A7C0000}"/>
    <cellStyle name="SAPBEXHLevel3X 3 13 2" xfId="3980" xr:uid="{00000000-0005-0000-0000-00007B7C0000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4" xfId="3598" xr:uid="{00000000-0005-0000-0000-0000927C0000}"/>
    <cellStyle name="SAPBEXHLevel3X 3 14 2" xfId="3979" xr:uid="{00000000-0005-0000-0000-0000937C0000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5" xfId="3599" xr:uid="{00000000-0005-0000-0000-0000AA7C0000}"/>
    <cellStyle name="SAPBEXHLevel3X 3 15 2" xfId="3978" xr:uid="{00000000-0005-0000-0000-0000AB7C0000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6" xfId="3983" xr:uid="{00000000-0005-0000-0000-0000C27C0000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7" xfId="5347" xr:uid="{00000000-0005-0000-0000-0000CF7C0000}"/>
    <cellStyle name="SAPBEXHLevel3X 3 17 2" xfId="22627" xr:uid="{00000000-0005-0000-0000-0000D07C000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2" xfId="3600" xr:uid="{00000000-0005-0000-0000-0000D77C0000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3" xfId="3977" xr:uid="{00000000-0005-0000-0000-0000E57C0000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3" xfId="2004" xr:uid="{00000000-0005-0000-0000-0000067D0000}"/>
    <cellStyle name="SAPBEXHLevel3X 3 3 2" xfId="3976" xr:uid="{00000000-0005-0000-0000-0000077D0000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4" xfId="3602" xr:uid="{00000000-0005-0000-0000-00001F7D0000}"/>
    <cellStyle name="SAPBEXHLevel3X 3 4 2" xfId="3975" xr:uid="{00000000-0005-0000-0000-0000207D0000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5" xfId="3603" xr:uid="{00000000-0005-0000-0000-0000377D0000}"/>
    <cellStyle name="SAPBEXHLevel3X 3 5 2" xfId="3974" xr:uid="{00000000-0005-0000-0000-0000387D0000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6" xfId="3604" xr:uid="{00000000-0005-0000-0000-00004F7D0000}"/>
    <cellStyle name="SAPBEXHLevel3X 3 6 2" xfId="3973" xr:uid="{00000000-0005-0000-0000-0000507D0000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7" xfId="3605" xr:uid="{00000000-0005-0000-0000-0000677D0000}"/>
    <cellStyle name="SAPBEXHLevel3X 3 7 2" xfId="3972" xr:uid="{00000000-0005-0000-0000-0000687D0000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8" xfId="3606" xr:uid="{00000000-0005-0000-0000-00007F7D0000}"/>
    <cellStyle name="SAPBEXHLevel3X 3 8 2" xfId="3732" xr:uid="{00000000-0005-0000-0000-0000807D0000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9" xfId="3607" xr:uid="{00000000-0005-0000-0000-0000977D0000}"/>
    <cellStyle name="SAPBEXHLevel3X 3 9 2" xfId="3738" xr:uid="{00000000-0005-0000-0000-0000987D0000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4" xfId="924" xr:uid="{00000000-0005-0000-0000-0000AF7D0000}"/>
    <cellStyle name="SAPBEXHLevel3X 4 10" xfId="3609" xr:uid="{00000000-0005-0000-0000-0000B07D0000}"/>
    <cellStyle name="SAPBEXHLevel3X 4 10 2" xfId="3971" xr:uid="{00000000-0005-0000-0000-0000B17D0000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1" xfId="3610" xr:uid="{00000000-0005-0000-0000-0000C87D0000}"/>
    <cellStyle name="SAPBEXHLevel3X 4 11 2" xfId="3970" xr:uid="{00000000-0005-0000-0000-0000C97D000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2" xfId="3611" xr:uid="{00000000-0005-0000-0000-0000E07D0000}"/>
    <cellStyle name="SAPBEXHLevel3X 4 12 2" xfId="3744" xr:uid="{00000000-0005-0000-0000-0000E17D0000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3" xfId="3612" xr:uid="{00000000-0005-0000-0000-0000F87D0000}"/>
    <cellStyle name="SAPBEXHLevel3X 4 13 2" xfId="3745" xr:uid="{00000000-0005-0000-0000-0000F97D0000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4" xfId="3613" xr:uid="{00000000-0005-0000-0000-0000107E0000}"/>
    <cellStyle name="SAPBEXHLevel3X 4 14 2" xfId="2143" xr:uid="{00000000-0005-0000-0000-0000117E0000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5" xfId="3614" xr:uid="{00000000-0005-0000-0000-0000287E0000}"/>
    <cellStyle name="SAPBEXHLevel3X 4 15 2" xfId="3969" xr:uid="{00000000-0005-0000-0000-0000297E0000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6" xfId="3608" xr:uid="{00000000-0005-0000-0000-0000407E0000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7" xfId="3741" xr:uid="{00000000-0005-0000-0000-00004E7E0000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2" xfId="3615" xr:uid="{00000000-0005-0000-0000-0000627E0000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3" xfId="3968" xr:uid="{00000000-0005-0000-0000-0000707E0000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2" xfId="3616" xr:uid="{00000000-0005-0000-0000-0000967E0000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2" xfId="2144" xr:uid="{00000000-0005-0000-0000-0000BE7E0000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5" xfId="3618" xr:uid="{00000000-0005-0000-0000-0000D67E0000}"/>
    <cellStyle name="SAPBEXHLevel3X 4 5 2" xfId="2145" xr:uid="{00000000-0005-0000-0000-0000D77E0000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6" xfId="3619" xr:uid="{00000000-0005-0000-0000-0000EE7E0000}"/>
    <cellStyle name="SAPBEXHLevel3X 4 6 2" xfId="3967" xr:uid="{00000000-0005-0000-0000-0000EF7E0000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7" xfId="3620" xr:uid="{00000000-0005-0000-0000-0000067F0000}"/>
    <cellStyle name="SAPBEXHLevel3X 4 7 2" xfId="3966" xr:uid="{00000000-0005-0000-0000-0000077F0000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8" xfId="3621" xr:uid="{00000000-0005-0000-0000-00001E7F0000}"/>
    <cellStyle name="SAPBEXHLevel3X 4 8 2" xfId="2146" xr:uid="{00000000-0005-0000-0000-00001F7F0000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9" xfId="3622" xr:uid="{00000000-0005-0000-0000-0000367F0000}"/>
    <cellStyle name="SAPBEXHLevel3X 4 9 2" xfId="2147" xr:uid="{00000000-0005-0000-0000-0000377F0000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5" xfId="927" xr:uid="{00000000-0005-0000-0000-00004E7F0000}"/>
    <cellStyle name="SAPBEXHLevel3X 5 10" xfId="3624" xr:uid="{00000000-0005-0000-0000-00004F7F0000}"/>
    <cellStyle name="SAPBEXHLevel3X 5 10 2" xfId="3965" xr:uid="{00000000-0005-0000-0000-0000507F0000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1" xfId="3625" xr:uid="{00000000-0005-0000-0000-0000677F0000}"/>
    <cellStyle name="SAPBEXHLevel3X 5 11 2" xfId="3964" xr:uid="{00000000-0005-0000-0000-0000687F0000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2" xfId="3626" xr:uid="{00000000-0005-0000-0000-00007F7F0000}"/>
    <cellStyle name="SAPBEXHLevel3X 5 12 2" xfId="3769" xr:uid="{00000000-0005-0000-0000-0000807F0000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3" xfId="3627" xr:uid="{00000000-0005-0000-0000-0000977F0000}"/>
    <cellStyle name="SAPBEXHLevel3X 5 13 2" xfId="3777" xr:uid="{00000000-0005-0000-0000-0000987F0000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4" xfId="3628" xr:uid="{00000000-0005-0000-0000-0000AF7F0000}"/>
    <cellStyle name="SAPBEXHLevel3X 5 14 2" xfId="3778" xr:uid="{00000000-0005-0000-0000-0000B07F0000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5" xfId="3629" xr:uid="{00000000-0005-0000-0000-0000C77F0000}"/>
    <cellStyle name="SAPBEXHLevel3X 5 15 2" xfId="3963" xr:uid="{00000000-0005-0000-0000-0000C87F000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6" xfId="3623" xr:uid="{00000000-0005-0000-0000-0000DF7F0000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7" xfId="2149" xr:uid="{00000000-0005-0000-0000-0000ED7F0000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2" xfId="3630" xr:uid="{00000000-0005-0000-0000-000000800000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3" xfId="3631" xr:uid="{00000000-0005-0000-0000-000031800000}"/>
    <cellStyle name="SAPBEXHLevel3X 5 3 2" xfId="3779" xr:uid="{00000000-0005-0000-0000-000032800000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4" xfId="3632" xr:uid="{00000000-0005-0000-0000-00004A800000}"/>
    <cellStyle name="SAPBEXHLevel3X 5 4 2" xfId="3780" xr:uid="{00000000-0005-0000-0000-00004B800000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5" xfId="3633" xr:uid="{00000000-0005-0000-0000-000062800000}"/>
    <cellStyle name="SAPBEXHLevel3X 5 5 2" xfId="3781" xr:uid="{00000000-0005-0000-0000-00006380000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6" xfId="3634" xr:uid="{00000000-0005-0000-0000-00007A800000}"/>
    <cellStyle name="SAPBEXHLevel3X 5 6 2" xfId="3961" xr:uid="{00000000-0005-0000-0000-00007B800000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7" xfId="3635" xr:uid="{00000000-0005-0000-0000-000092800000}"/>
    <cellStyle name="SAPBEXHLevel3X 5 7 2" xfId="3960" xr:uid="{00000000-0005-0000-0000-000093800000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8" xfId="3636" xr:uid="{00000000-0005-0000-0000-0000AA800000}"/>
    <cellStyle name="SAPBEXHLevel3X 5 8 2" xfId="3959" xr:uid="{00000000-0005-0000-0000-0000AB800000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9" xfId="3637" xr:uid="{00000000-0005-0000-0000-0000C2800000}"/>
    <cellStyle name="SAPBEXHLevel3X 5 9 2" xfId="3958" xr:uid="{00000000-0005-0000-0000-0000C3800000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2" xfId="1900" xr:uid="{00000000-0005-0000-0000-0000DE80000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2" xfId="3639" xr:uid="{00000000-0005-0000-0000-000013810000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2" xfId="3955" xr:uid="{00000000-0005-0000-0000-00003B810000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9" xfId="1902" xr:uid="{00000000-0005-0000-0000-000052810000}"/>
    <cellStyle name="SAPBEXHLevel3X 9 2" xfId="3954" xr:uid="{00000000-0005-0000-0000-00005381000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2" xfId="931" xr:uid="{00000000-0005-0000-0000-000078810000}"/>
    <cellStyle name="SAPBEXinputData 2 2" xfId="1907" xr:uid="{00000000-0005-0000-0000-000079810000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3" xfId="932" xr:uid="{00000000-0005-0000-0000-000085810000}"/>
    <cellStyle name="SAPBEXinputData 3 2" xfId="933" xr:uid="{00000000-0005-0000-0000-000086810000}"/>
    <cellStyle name="SAPBEXinputData 3 2 2" xfId="7574" xr:uid="{00000000-0005-0000-0000-000087810000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3" xfId="5966" xr:uid="{00000000-0005-0000-0000-00008D810000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4" xfId="934" xr:uid="{00000000-0005-0000-0000-000093810000}"/>
    <cellStyle name="SAPBEXinputData 4 2" xfId="1908" xr:uid="{00000000-0005-0000-0000-000094810000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5" xfId="935" xr:uid="{00000000-0005-0000-0000-0000A0810000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6" xfId="1909" xr:uid="{00000000-0005-0000-0000-0000A7810000}"/>
    <cellStyle name="SAPBEXinputData 6 2" xfId="6411" xr:uid="{00000000-0005-0000-0000-0000A8810000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2" xfId="4894" xr:uid="{00000000-0005-0000-0000-0000AE810000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resData" xfId="101" xr:uid="{00000000-0005-0000-0000-0000C5810000}"/>
    <cellStyle name="SAPBEXresData 10" xfId="3642" xr:uid="{00000000-0005-0000-0000-0000C6810000}"/>
    <cellStyle name="SAPBEXresData 10 2" xfId="3953" xr:uid="{00000000-0005-0000-0000-0000C7810000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1" xfId="3643" xr:uid="{00000000-0005-0000-0000-0000DE810000}"/>
    <cellStyle name="SAPBEXresData 11 2" xfId="3952" xr:uid="{00000000-0005-0000-0000-0000DF810000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2" xfId="3644" xr:uid="{00000000-0005-0000-0000-0000F6810000}"/>
    <cellStyle name="SAPBEXresData 12 2" xfId="3951" xr:uid="{00000000-0005-0000-0000-0000F7810000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3" xfId="3645" xr:uid="{00000000-0005-0000-0000-00000E820000}"/>
    <cellStyle name="SAPBEXresData 13 2" xfId="3950" xr:uid="{00000000-0005-0000-0000-00000F820000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4" xfId="3646" xr:uid="{00000000-0005-0000-0000-000026820000}"/>
    <cellStyle name="SAPBEXresData 14 2" xfId="3949" xr:uid="{00000000-0005-0000-0000-000027820000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5" xfId="3647" xr:uid="{00000000-0005-0000-0000-00003E820000}"/>
    <cellStyle name="SAPBEXresData 15 2" xfId="3948" xr:uid="{00000000-0005-0000-0000-00003F820000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6" xfId="3648" xr:uid="{00000000-0005-0000-0000-000056820000}"/>
    <cellStyle name="SAPBEXresData 16 2" xfId="3947" xr:uid="{00000000-0005-0000-0000-000057820000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7" xfId="4893" xr:uid="{00000000-0005-0000-0000-00006E82000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2" xfId="937" xr:uid="{00000000-0005-0000-0000-000085820000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3" xfId="938" xr:uid="{00000000-0005-0000-0000-0000C0820000}"/>
    <cellStyle name="SAPBEXresData 3 10" xfId="5114" xr:uid="{00000000-0005-0000-0000-0000C1820000}"/>
    <cellStyle name="SAPBEXresData 3 2" xfId="939" xr:uid="{00000000-0005-0000-0000-0000C2820000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3" xfId="3945" xr:uid="{00000000-0005-0000-0000-0000D0820000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4" xfId="5334" xr:uid="{00000000-0005-0000-0000-0000DD820000}"/>
    <cellStyle name="SAPBEXresData 3 4 2" xfId="22614" xr:uid="{00000000-0005-0000-0000-0000DE820000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2" xfId="3651" xr:uid="{00000000-0005-0000-0000-0000EC820000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3" xfId="3944" xr:uid="{00000000-0005-0000-0000-0000FA820000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2" xfId="3652" xr:uid="{00000000-0005-0000-0000-000015830000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2" xfId="3942" xr:uid="{00000000-0005-0000-0000-00003D830000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7" xfId="3654" xr:uid="{00000000-0005-0000-0000-000054830000}"/>
    <cellStyle name="SAPBEXresData 7 2" xfId="3941" xr:uid="{00000000-0005-0000-0000-000055830000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8" xfId="3655" xr:uid="{00000000-0005-0000-0000-00006C830000}"/>
    <cellStyle name="SAPBEXresData 8 2" xfId="3940" xr:uid="{00000000-0005-0000-0000-00006D830000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9" xfId="3656" xr:uid="{00000000-0005-0000-0000-000084830000}"/>
    <cellStyle name="SAPBEXresData 9 2" xfId="3939" xr:uid="{00000000-0005-0000-0000-000085830000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2" xfId="3938" xr:uid="{00000000-0005-0000-0000-00009F830000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1" xfId="3658" xr:uid="{00000000-0005-0000-0000-0000B6830000}"/>
    <cellStyle name="SAPBEXresDataEmph 11 2" xfId="3937" xr:uid="{00000000-0005-0000-0000-0000B7830000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2" xfId="3659" xr:uid="{00000000-0005-0000-0000-0000CE830000}"/>
    <cellStyle name="SAPBEXresDataEmph 12 2" xfId="3936" xr:uid="{00000000-0005-0000-0000-0000CF830000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3" xfId="3660" xr:uid="{00000000-0005-0000-0000-0000E6830000}"/>
    <cellStyle name="SAPBEXresDataEmph 13 2" xfId="3935" xr:uid="{00000000-0005-0000-0000-0000E7830000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4" xfId="3661" xr:uid="{00000000-0005-0000-0000-0000FE830000}"/>
    <cellStyle name="SAPBEXresDataEmph 14 2" xfId="3934" xr:uid="{00000000-0005-0000-0000-0000FF830000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5" xfId="3662" xr:uid="{00000000-0005-0000-0000-000016840000}"/>
    <cellStyle name="SAPBEXresDataEmph 15 2" xfId="3933" xr:uid="{00000000-0005-0000-0000-000017840000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6" xfId="3663" xr:uid="{00000000-0005-0000-0000-00002E840000}"/>
    <cellStyle name="SAPBEXresDataEmph 16 2" xfId="3932" xr:uid="{00000000-0005-0000-0000-00002F840000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7" xfId="4892" xr:uid="{00000000-0005-0000-0000-000046840000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2" xfId="3664" xr:uid="{00000000-0005-0000-0000-00005B840000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3" xfId="943" xr:uid="{00000000-0005-0000-0000-000089840000}"/>
    <cellStyle name="SAPBEXresDataEmph 3 2" xfId="2025" xr:uid="{00000000-0005-0000-0000-00008A840000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3" xfId="3930" xr:uid="{00000000-0005-0000-0000-00009884000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2" xfId="3666" xr:uid="{00000000-0005-0000-0000-0000AD840000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2" xfId="3928" xr:uid="{00000000-0005-0000-0000-0000D5840000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6" xfId="3668" xr:uid="{00000000-0005-0000-0000-0000EC840000}"/>
    <cellStyle name="SAPBEXresDataEmph 6 2" xfId="3927" xr:uid="{00000000-0005-0000-0000-0000ED840000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7" xfId="3669" xr:uid="{00000000-0005-0000-0000-000004850000}"/>
    <cellStyle name="SAPBEXresDataEmph 7 2" xfId="3926" xr:uid="{00000000-0005-0000-0000-000005850000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8" xfId="3670" xr:uid="{00000000-0005-0000-0000-00001C850000}"/>
    <cellStyle name="SAPBEXresDataEmph 8 2" xfId="3925" xr:uid="{00000000-0005-0000-0000-00001D850000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9" xfId="3671" xr:uid="{00000000-0005-0000-0000-000034850000}"/>
    <cellStyle name="SAPBEXresDataEmph 9 2" xfId="3924" xr:uid="{00000000-0005-0000-0000-000035850000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2" xfId="3923" xr:uid="{00000000-0005-0000-0000-00004F850000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1" xfId="3673" xr:uid="{00000000-0005-0000-0000-000066850000}"/>
    <cellStyle name="SAPBEXresItem 11 2" xfId="3922" xr:uid="{00000000-0005-0000-0000-000067850000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2" xfId="3674" xr:uid="{00000000-0005-0000-0000-00007E850000}"/>
    <cellStyle name="SAPBEXresItem 12 2" xfId="3921" xr:uid="{00000000-0005-0000-0000-00007F850000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3" xfId="3675" xr:uid="{00000000-0005-0000-0000-000096850000}"/>
    <cellStyle name="SAPBEXresItem 13 2" xfId="3920" xr:uid="{00000000-0005-0000-0000-000097850000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4" xfId="3676" xr:uid="{00000000-0005-0000-0000-0000AE850000}"/>
    <cellStyle name="SAPBEXresItem 14 2" xfId="3919" xr:uid="{00000000-0005-0000-0000-0000AF850000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5" xfId="3677" xr:uid="{00000000-0005-0000-0000-0000C6850000}"/>
    <cellStyle name="SAPBEXresItem 15 2" xfId="3918" xr:uid="{00000000-0005-0000-0000-0000C785000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6" xfId="3678" xr:uid="{00000000-0005-0000-0000-0000DE850000}"/>
    <cellStyle name="SAPBEXresItem 16 2" xfId="3917" xr:uid="{00000000-0005-0000-0000-0000DF850000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7" xfId="4891" xr:uid="{00000000-0005-0000-0000-0000F6850000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2" xfId="946" xr:uid="{00000000-0005-0000-0000-00000D860000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3" xfId="947" xr:uid="{00000000-0005-0000-0000-000048860000}"/>
    <cellStyle name="SAPBEXresItem 3 10" xfId="5123" xr:uid="{00000000-0005-0000-0000-000049860000}"/>
    <cellStyle name="SAPBEXresItem 3 2" xfId="948" xr:uid="{00000000-0005-0000-0000-00004A860000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3" xfId="3915" xr:uid="{00000000-0005-0000-0000-000058860000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4" xfId="5325" xr:uid="{00000000-0005-0000-0000-000065860000}"/>
    <cellStyle name="SAPBEXresItem 3 4 2" xfId="22606" xr:uid="{00000000-0005-0000-0000-000066860000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2" xfId="3681" xr:uid="{00000000-0005-0000-0000-000074860000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3" xfId="3914" xr:uid="{00000000-0005-0000-0000-000082860000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2" xfId="3682" xr:uid="{00000000-0005-0000-0000-00009D860000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2" xfId="3912" xr:uid="{00000000-0005-0000-0000-0000C5860000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7" xfId="3684" xr:uid="{00000000-0005-0000-0000-0000DC860000}"/>
    <cellStyle name="SAPBEXresItem 7 2" xfId="3911" xr:uid="{00000000-0005-0000-0000-0000DD860000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8" xfId="3685" xr:uid="{00000000-0005-0000-0000-0000F4860000}"/>
    <cellStyle name="SAPBEXresItem 8 2" xfId="3910" xr:uid="{00000000-0005-0000-0000-0000F5860000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9" xfId="3686" xr:uid="{00000000-0005-0000-0000-00000C870000}"/>
    <cellStyle name="SAPBEXresItem 9 2" xfId="3909" xr:uid="{00000000-0005-0000-0000-00000D870000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2" xfId="3908" xr:uid="{00000000-0005-0000-0000-000027870000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1" xfId="3688" xr:uid="{00000000-0005-0000-0000-00003E870000}"/>
    <cellStyle name="SAPBEXresItemX 11 2" xfId="3907" xr:uid="{00000000-0005-0000-0000-00003F87000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2" xfId="3689" xr:uid="{00000000-0005-0000-0000-000056870000}"/>
    <cellStyle name="SAPBEXresItemX 12 2" xfId="3906" xr:uid="{00000000-0005-0000-0000-00005787000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3" xfId="3690" xr:uid="{00000000-0005-0000-0000-00006E870000}"/>
    <cellStyle name="SAPBEXresItemX 13 2" xfId="3905" xr:uid="{00000000-0005-0000-0000-00006F870000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4" xfId="3691" xr:uid="{00000000-0005-0000-0000-000086870000}"/>
    <cellStyle name="SAPBEXresItemX 14 2" xfId="3904" xr:uid="{00000000-0005-0000-0000-000087870000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5" xfId="3692" xr:uid="{00000000-0005-0000-0000-00009E870000}"/>
    <cellStyle name="SAPBEXresItemX 15 2" xfId="3903" xr:uid="{00000000-0005-0000-0000-00009F870000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6" xfId="4890" xr:uid="{00000000-0005-0000-0000-0000B6870000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2" xfId="952" xr:uid="{00000000-0005-0000-0000-0000CF870000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3" xfId="953" xr:uid="{00000000-0005-0000-0000-000008880000}"/>
    <cellStyle name="SAPBEXresItemX 3 10" xfId="5129" xr:uid="{00000000-0005-0000-0000-000009880000}"/>
    <cellStyle name="SAPBEXresItemX 3 2" xfId="954" xr:uid="{00000000-0005-0000-0000-00000A88000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3" xfId="3901" xr:uid="{00000000-0005-0000-0000-000018880000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4" xfId="5319" xr:uid="{00000000-0005-0000-0000-000025880000}"/>
    <cellStyle name="SAPBEXresItemX 3 4 2" xfId="22600" xr:uid="{00000000-0005-0000-0000-00002688000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2" xfId="3695" xr:uid="{00000000-0005-0000-0000-000034880000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3" xfId="3900" xr:uid="{00000000-0005-0000-0000-000042880000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2" xfId="3899" xr:uid="{00000000-0005-0000-0000-00005C880000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6" xfId="3697" xr:uid="{00000000-0005-0000-0000-000073880000}"/>
    <cellStyle name="SAPBEXresItemX 6 2" xfId="3898" xr:uid="{00000000-0005-0000-0000-000074880000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7" xfId="3698" xr:uid="{00000000-0005-0000-0000-00008B880000}"/>
    <cellStyle name="SAPBEXresItemX 7 2" xfId="3897" xr:uid="{00000000-0005-0000-0000-00008C880000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8" xfId="3699" xr:uid="{00000000-0005-0000-0000-0000A3880000}"/>
    <cellStyle name="SAPBEXresItemX 8 2" xfId="3896" xr:uid="{00000000-0005-0000-0000-0000A4880000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9" xfId="3700" xr:uid="{00000000-0005-0000-0000-0000BB880000}"/>
    <cellStyle name="SAPBEXresItemX 9 2" xfId="3895" xr:uid="{00000000-0005-0000-0000-0000BC880000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2" xfId="1918" xr:uid="{00000000-0005-0000-0000-0000D7880000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2" xfId="3702" xr:uid="{00000000-0005-0000-0000-000000890000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2" xfId="3703" xr:uid="{00000000-0005-0000-0000-000024890000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2" xfId="3891" xr:uid="{00000000-0005-0000-0000-000047890000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4" xfId="3705" xr:uid="{00000000-0005-0000-0000-00005E890000}"/>
    <cellStyle name="SAPBEXstdData 14 2" xfId="3890" xr:uid="{00000000-0005-0000-0000-00005F890000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5" xfId="3706" xr:uid="{00000000-0005-0000-0000-000076890000}"/>
    <cellStyle name="SAPBEXstdData 15 2" xfId="3889" xr:uid="{00000000-0005-0000-0000-000077890000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6" xfId="3707" xr:uid="{00000000-0005-0000-0000-00008E890000}"/>
    <cellStyle name="SAPBEXstdData 16 2" xfId="3888" xr:uid="{00000000-0005-0000-0000-00008F890000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7" xfId="4889" xr:uid="{00000000-0005-0000-0000-0000A6890000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8" xfId="5985" xr:uid="{00000000-0005-0000-0000-0000B3890000}"/>
    <cellStyle name="SAPBEXstdData 18 2" xfId="22954" xr:uid="{00000000-0005-0000-0000-0000B4890000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2" xfId="959" xr:uid="{00000000-0005-0000-0000-0000BA890000}"/>
    <cellStyle name="SAPBEXstdData 2 2 10" xfId="5133" xr:uid="{00000000-0005-0000-0000-0000BB890000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2" xfId="963" xr:uid="{00000000-0005-0000-0000-0000078A0000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4" xfId="3886" xr:uid="{00000000-0005-0000-0000-0000248A0000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2" xfId="965" xr:uid="{00000000-0005-0000-0000-00003F8A0000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3" xfId="3710" xr:uid="{00000000-0005-0000-0000-00004D8A0000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4" xfId="3885" xr:uid="{00000000-0005-0000-0000-00005B8A0000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2" xfId="967" xr:uid="{00000000-0005-0000-0000-0000758A0000}"/>
    <cellStyle name="SAPBEXstdData 5 2 2" xfId="5305" xr:uid="{00000000-0005-0000-0000-0000768A0000}"/>
    <cellStyle name="SAPBEXstdData 5 2 2 2" xfId="37095" xr:uid="{00000000-0005-0000-0000-0000778A0000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3" xfId="1922" xr:uid="{00000000-0005-0000-0000-00007E8A0000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2" xfId="3712" xr:uid="{00000000-0005-0000-0000-0000A28A0000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3" xfId="3883" xr:uid="{00000000-0005-0000-0000-0000B08A0000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2" xfId="970" xr:uid="{00000000-0005-0000-0000-0000CC8A0000}"/>
    <cellStyle name="SAPBEXstdData 7 2 2" xfId="5302" xr:uid="{00000000-0005-0000-0000-0000CD8A0000}"/>
    <cellStyle name="SAPBEXstdData 7 2 2 2" xfId="37093" xr:uid="{00000000-0005-0000-0000-0000CE8A0000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3" xfId="1923" xr:uid="{00000000-0005-0000-0000-0000D58A0000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2" xfId="972" xr:uid="{00000000-0005-0000-0000-0000F98A0000}"/>
    <cellStyle name="SAPBEXstdData 8 2 2" xfId="5300" xr:uid="{00000000-0005-0000-0000-0000FA8A0000}"/>
    <cellStyle name="SAPBEXstdData 8 2 2 2" xfId="37091" xr:uid="{00000000-0005-0000-0000-0000FB8A0000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3" xfId="3714" xr:uid="{00000000-0005-0000-0000-0000028B0000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2" xfId="974" xr:uid="{00000000-0005-0000-0000-0000268B0000}"/>
    <cellStyle name="SAPBEXstdData 9 2 2" xfId="5298" xr:uid="{00000000-0005-0000-0000-0000278B0000}"/>
    <cellStyle name="SAPBEXstdData 9 2 2 2" xfId="37089" xr:uid="{00000000-0005-0000-0000-0000288B0000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3" xfId="3715" xr:uid="{00000000-0005-0000-0000-00002F8B00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2" xfId="3879" xr:uid="{00000000-0005-0000-0000-0000538B0000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1" xfId="3718" xr:uid="{00000000-0005-0000-0000-00006A8B0000}"/>
    <cellStyle name="SAPBEXstdDataEmph 11 2" xfId="3878" xr:uid="{00000000-0005-0000-0000-00006B8B0000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2" xfId="3719" xr:uid="{00000000-0005-0000-0000-0000828B0000}"/>
    <cellStyle name="SAPBEXstdDataEmph 12 2" xfId="3877" xr:uid="{00000000-0005-0000-0000-0000838B0000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3" xfId="3720" xr:uid="{00000000-0005-0000-0000-00009A8B0000}"/>
    <cellStyle name="SAPBEXstdDataEmph 13 2" xfId="3876" xr:uid="{00000000-0005-0000-0000-00009B8B0000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4" xfId="3721" xr:uid="{00000000-0005-0000-0000-0000B28B0000}"/>
    <cellStyle name="SAPBEXstdDataEmph 14 2" xfId="3875" xr:uid="{00000000-0005-0000-0000-0000B38B0000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5" xfId="3722" xr:uid="{00000000-0005-0000-0000-0000CA8B0000}"/>
    <cellStyle name="SAPBEXstdDataEmph 15 2" xfId="3874" xr:uid="{00000000-0005-0000-0000-0000CB8B0000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6" xfId="3723" xr:uid="{00000000-0005-0000-0000-0000E28B0000}"/>
    <cellStyle name="SAPBEXstdDataEmph 16 2" xfId="3873" xr:uid="{00000000-0005-0000-0000-0000E38B0000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7" xfId="4888" xr:uid="{00000000-0005-0000-0000-0000FA8B0000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2" xfId="3724" xr:uid="{00000000-0005-0000-0000-0000108C0000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3" xfId="976" xr:uid="{00000000-0005-0000-0000-00003E8C0000}"/>
    <cellStyle name="SAPBEXstdDataEmph 3 10" xfId="22504" xr:uid="{00000000-0005-0000-0000-00003F8C0000}"/>
    <cellStyle name="SAPBEXstdDataEmph 3 2" xfId="2006" xr:uid="{00000000-0005-0000-0000-0000408C0000}"/>
    <cellStyle name="SAPBEXstdDataEmph 3 2 2" xfId="7251" xr:uid="{00000000-0005-0000-0000-0000418C0000}"/>
    <cellStyle name="SAPBEXstdDataEmph 3 2 2 2" xfId="23506" xr:uid="{00000000-0005-0000-0000-0000428C0000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3" xfId="3871" xr:uid="{00000000-0005-0000-0000-00004E8C0000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2" xfId="3726" xr:uid="{00000000-0005-0000-0000-0000658C0000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2" xfId="3869" xr:uid="{00000000-0005-0000-0000-00008D8C0000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6" xfId="3728" xr:uid="{00000000-0005-0000-0000-0000A48C0000}"/>
    <cellStyle name="SAPBEXstdDataEmph 6 2" xfId="3868" xr:uid="{00000000-0005-0000-0000-0000A58C0000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7" xfId="3729" xr:uid="{00000000-0005-0000-0000-0000BC8C0000}"/>
    <cellStyle name="SAPBEXstdDataEmph 7 2" xfId="3867" xr:uid="{00000000-0005-0000-0000-0000BD8C0000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8" xfId="3730" xr:uid="{00000000-0005-0000-0000-0000D48C0000}"/>
    <cellStyle name="SAPBEXstdDataEmph 8 2" xfId="3866" xr:uid="{00000000-0005-0000-0000-0000D58C0000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9" xfId="3731" xr:uid="{00000000-0005-0000-0000-0000EC8C0000}"/>
    <cellStyle name="SAPBEXstdDataEmph 9 2" xfId="3865" xr:uid="{00000000-0005-0000-0000-0000ED8C0000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2" xfId="1925" xr:uid="{00000000-0005-0000-0000-0000088D0000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2" xfId="3733" xr:uid="{00000000-0005-0000-0000-0000318D0000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2" xfId="3734" xr:uid="{00000000-0005-0000-0000-0000558D0000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2" xfId="3861" xr:uid="{00000000-0005-0000-0000-0000788D0000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4" xfId="3736" xr:uid="{00000000-0005-0000-0000-00008F8D0000}"/>
    <cellStyle name="SAPBEXstdItem 14 2" xfId="3860" xr:uid="{00000000-0005-0000-0000-0000908D0000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5" xfId="3737" xr:uid="{00000000-0005-0000-0000-0000A78D0000}"/>
    <cellStyle name="SAPBEXstdItem 15 2" xfId="2152" xr:uid="{00000000-0005-0000-0000-0000A88D0000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6" xfId="2127" xr:uid="{00000000-0005-0000-0000-0000BF8D0000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7" xfId="5983" xr:uid="{00000000-0005-0000-0000-0000CC8D0000}"/>
    <cellStyle name="SAPBEXstdItem 17 2" xfId="22952" xr:uid="{00000000-0005-0000-0000-0000CD8D0000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2" xfId="982" xr:uid="{00000000-0005-0000-0000-0000DB8D0000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2" xfId="5289" xr:uid="{00000000-0005-0000-0000-0000158E0000}"/>
    <cellStyle name="SAPBEXstdItem 2 3 2 2" xfId="37085" xr:uid="{00000000-0005-0000-0000-0000168E0000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4" xfId="2294" xr:uid="{00000000-0005-0000-0000-00001D8E0000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2" xfId="985" xr:uid="{00000000-0005-0000-0000-00003E8E0000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2" xfId="987" xr:uid="{00000000-0005-0000-0000-0000788E0000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3" xfId="3740" xr:uid="{00000000-0005-0000-0000-0000868E0000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2" xfId="989" xr:uid="{00000000-0005-0000-0000-0000B08E0000}"/>
    <cellStyle name="SAPBEXstdItem 5 2 2" xfId="5286" xr:uid="{00000000-0005-0000-0000-0000B18E0000}"/>
    <cellStyle name="SAPBEXstdItem 5 2 2 2" xfId="37083" xr:uid="{00000000-0005-0000-0000-0000B28E0000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3" xfId="1929" xr:uid="{00000000-0005-0000-0000-0000B98E0000}"/>
    <cellStyle name="SAPBEXstdItem 5 3 10" xfId="37919" xr:uid="{00000000-0005-0000-0000-0000BA8E0000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2" xfId="991" xr:uid="{00000000-0005-0000-0000-0000E38E0000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2" xfId="994" xr:uid="{00000000-0005-0000-0000-0000278F0000}"/>
    <cellStyle name="SAPBEXstdItem 7 2 2" xfId="5281" xr:uid="{00000000-0005-0000-0000-0000288F0000}"/>
    <cellStyle name="SAPBEXstdItem 7 2 2 2" xfId="37081" xr:uid="{00000000-0005-0000-0000-0000298F0000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3" xfId="3743" xr:uid="{00000000-0005-0000-0000-0000308F0000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2" xfId="996" xr:uid="{00000000-0005-0000-0000-0000548F0000}"/>
    <cellStyle name="SAPBEXstdItem 8 2 2" xfId="5279" xr:uid="{00000000-0005-0000-0000-0000558F0000}"/>
    <cellStyle name="SAPBEXstdItem 8 2 2 2" xfId="37079" xr:uid="{00000000-0005-0000-0000-0000568F0000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3" xfId="1930" xr:uid="{00000000-0005-0000-0000-00005D8F0000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2" xfId="998" xr:uid="{00000000-0005-0000-0000-0000818F0000}"/>
    <cellStyle name="SAPBEXstdItem 9 2 2" xfId="5277" xr:uid="{00000000-0005-0000-0000-0000828F0000}"/>
    <cellStyle name="SAPBEXstdItem 9 2 2 2" xfId="37077" xr:uid="{00000000-0005-0000-0000-0000838F0000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3" xfId="1931" xr:uid="{00000000-0005-0000-0000-00008A8F0000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2" xfId="2106" xr:uid="{00000000-0005-0000-0000-0000AE8F0000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1" xfId="3748" xr:uid="{00000000-0005-0000-0000-0000C58F0000}"/>
    <cellStyle name="SAPBEXstdItemX 11 2" xfId="2104" xr:uid="{00000000-0005-0000-0000-0000C68F0000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2" xfId="3749" xr:uid="{00000000-0005-0000-0000-0000DD8F0000}"/>
    <cellStyle name="SAPBEXstdItemX 12 2" xfId="2095" xr:uid="{00000000-0005-0000-0000-0000DE8F0000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3" xfId="3750" xr:uid="{00000000-0005-0000-0000-0000F58F0000}"/>
    <cellStyle name="SAPBEXstdItemX 13 2" xfId="2108" xr:uid="{00000000-0005-0000-0000-0000F68F000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4" xfId="3751" xr:uid="{00000000-0005-0000-0000-00000D900000}"/>
    <cellStyle name="SAPBEXstdItemX 14 2" xfId="2102" xr:uid="{00000000-0005-0000-0000-00000E900000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5" xfId="3752" xr:uid="{00000000-0005-0000-0000-000025900000}"/>
    <cellStyle name="SAPBEXstdItemX 15 2" xfId="2094" xr:uid="{00000000-0005-0000-0000-000026900000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6" xfId="4887" xr:uid="{00000000-0005-0000-0000-00003D900000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2" xfId="1000" xr:uid="{00000000-0005-0000-0000-000055900000}"/>
    <cellStyle name="SAPBEXstdItemX 2 2 2" xfId="5275" xr:uid="{00000000-0005-0000-0000-000056900000}"/>
    <cellStyle name="SAPBEXstdItemX 2 2 2 2" xfId="22580" xr:uid="{00000000-0005-0000-0000-000057900000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3" xfId="3753" xr:uid="{00000000-0005-0000-0000-000063900000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3" xfId="1001" xr:uid="{00000000-0005-0000-0000-00008C900000}"/>
    <cellStyle name="SAPBEXstdItemX 3 10" xfId="5153" xr:uid="{00000000-0005-0000-0000-00008D900000}"/>
    <cellStyle name="SAPBEXstdItemX 3 2" xfId="1002" xr:uid="{00000000-0005-0000-0000-00008E900000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3" xfId="2105" xr:uid="{00000000-0005-0000-0000-00009C900000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2" xfId="1004" xr:uid="{00000000-0005-0000-0000-0000BC900000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2" xfId="2101" xr:uid="{00000000-0005-0000-0000-0000FE900000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6" xfId="3757" xr:uid="{00000000-0005-0000-0000-000016910000}"/>
    <cellStyle name="SAPBEXstdItemX 6 2" xfId="2092" xr:uid="{00000000-0005-0000-0000-000017910000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7" xfId="3758" xr:uid="{00000000-0005-0000-0000-00002E910000}"/>
    <cellStyle name="SAPBEXstdItemX 7 2" xfId="2097" xr:uid="{00000000-0005-0000-0000-00002F910000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8" xfId="3759" xr:uid="{00000000-0005-0000-0000-000046910000}"/>
    <cellStyle name="SAPBEXstdItemX 8 2" xfId="2110" xr:uid="{00000000-0005-0000-0000-000047910000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9" xfId="3760" xr:uid="{00000000-0005-0000-0000-00005E910000}"/>
    <cellStyle name="SAPBEXstdItemX 9 2" xfId="2405" xr:uid="{00000000-0005-0000-0000-00005F910000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2" xfId="2026" xr:uid="{00000000-0005-0000-0000-000098910000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2" xfId="1013" xr:uid="{00000000-0005-0000-0000-0000BD910000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3" xfId="1015" xr:uid="{00000000-0005-0000-0000-0000CB910000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4" xfId="1017" xr:uid="{00000000-0005-0000-0000-0000D9910000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5" xfId="1019" xr:uid="{00000000-0005-0000-0000-0000E7910000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6" xfId="1021" xr:uid="{00000000-0005-0000-0000-0000F5910000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2" xfId="3858" xr:uid="{00000000-0005-0000-0000-00001292000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1" xfId="3762" xr:uid="{00000000-0005-0000-0000-000029920000}"/>
    <cellStyle name="SAPBEXundefined 11 2" xfId="2111" xr:uid="{00000000-0005-0000-0000-00002A920000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2" xfId="3763" xr:uid="{00000000-0005-0000-0000-000041920000}"/>
    <cellStyle name="SAPBEXundefined 12 2" xfId="2112" xr:uid="{00000000-0005-0000-0000-000042920000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3" xfId="3764" xr:uid="{00000000-0005-0000-0000-000059920000}"/>
    <cellStyle name="SAPBEXundefined 13 2" xfId="2113" xr:uid="{00000000-0005-0000-0000-00005A920000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4" xfId="3765" xr:uid="{00000000-0005-0000-0000-000071920000}"/>
    <cellStyle name="SAPBEXundefined 14 2" xfId="2424" xr:uid="{00000000-0005-0000-0000-000072920000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5" xfId="3766" xr:uid="{00000000-0005-0000-0000-000089920000}"/>
    <cellStyle name="SAPBEXundefined 15 2" xfId="2114" xr:uid="{00000000-0005-0000-0000-00008A920000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6" xfId="3767" xr:uid="{00000000-0005-0000-0000-0000A1920000}"/>
    <cellStyle name="SAPBEXundefined 16 2" xfId="2115" xr:uid="{00000000-0005-0000-0000-0000A2920000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7" xfId="4884" xr:uid="{00000000-0005-0000-0000-0000B9920000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2" xfId="3768" xr:uid="{00000000-0005-0000-0000-0000CF920000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3" xfId="1023" xr:uid="{00000000-0005-0000-0000-0000FD920000}"/>
    <cellStyle name="SAPBEXundefined 3 10" xfId="22517" xr:uid="{00000000-0005-0000-0000-0000FE920000}"/>
    <cellStyle name="SAPBEXundefined 3 2" xfId="1985" xr:uid="{00000000-0005-0000-0000-0000FF920000}"/>
    <cellStyle name="SAPBEXundefined 3 2 2" xfId="7231" xr:uid="{00000000-0005-0000-0000-000000930000}"/>
    <cellStyle name="SAPBEXundefined 3 2 2 2" xfId="23492" xr:uid="{00000000-0005-0000-0000-000001930000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3" xfId="2437" xr:uid="{00000000-0005-0000-0000-00000D930000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2" xfId="3770" xr:uid="{00000000-0005-0000-0000-000024930000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2" xfId="2118" xr:uid="{00000000-0005-0000-0000-00004C930000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6" xfId="3772" xr:uid="{00000000-0005-0000-0000-000063930000}"/>
    <cellStyle name="SAPBEXundefined 6 2" xfId="2119" xr:uid="{00000000-0005-0000-0000-000064930000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7" xfId="3773" xr:uid="{00000000-0005-0000-0000-00007B930000}"/>
    <cellStyle name="SAPBEXundefined 7 2" xfId="2120" xr:uid="{00000000-0005-0000-0000-00007C93000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8" xfId="3774" xr:uid="{00000000-0005-0000-0000-000093930000}"/>
    <cellStyle name="SAPBEXundefined 8 2" xfId="3833" xr:uid="{00000000-0005-0000-0000-000094930000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9" xfId="3775" xr:uid="{00000000-0005-0000-0000-0000AB930000}"/>
    <cellStyle name="SAPBEXundefined 9 2" xfId="2121" xr:uid="{00000000-0005-0000-0000-0000AC930000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2" xfId="1942" xr:uid="{00000000-0005-0000-0000-000047940000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2" xfId="3812" xr:uid="{00000000-0005-0000-0000-000070940000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C5B02C3C-29A3-4189-AE64-33C02680A550}"/>
  </tableStyles>
  <colors>
    <mruColors>
      <color rgb="FFCCCCFF"/>
      <color rgb="FFCC99FF"/>
      <color rgb="FF0000FF"/>
      <color rgb="FF2A26E2"/>
      <color rgb="FF0C1DF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51</xdr:row>
      <xdr:rowOff>107156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238125" y="8612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44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 txBox="1"/>
      </xdr:nvSpPr>
      <xdr:spPr>
        <a:xfrm>
          <a:off x="9702800" y="7422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238125</xdr:colOff>
      <xdr:row>44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 txBox="1"/>
      </xdr:nvSpPr>
      <xdr:spPr>
        <a:xfrm>
          <a:off x="7527925" y="7422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32</xdr:row>
      <xdr:rowOff>107156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SpPr txBox="1"/>
      </xdr:nvSpPr>
      <xdr:spPr>
        <a:xfrm>
          <a:off x="238125" y="93083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C00-00000A000000}"/>
            </a:ext>
          </a:extLst>
        </xdr:cNvPr>
        <xdr:cNvSpPr>
          <a:spLocks noChangeShapeType="1"/>
        </xdr:cNvSpPr>
      </xdr:nvSpPr>
      <xdr:spPr bwMode="auto">
        <a:xfrm>
          <a:off x="1900239" y="18494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C00-00000B000000}"/>
            </a:ext>
          </a:extLst>
        </xdr:cNvPr>
        <xdr:cNvSpPr>
          <a:spLocks noChangeShapeType="1"/>
        </xdr:cNvSpPr>
      </xdr:nvSpPr>
      <xdr:spPr bwMode="auto">
        <a:xfrm>
          <a:off x="1757367" y="208470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AE0C551-8FBA-4573-88B7-522B0C64DEE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D4DA71E-558B-4AF1-9A30-3B9ABF1B6AF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148</xdr:row>
      <xdr:rowOff>-1</xdr:rowOff>
    </xdr:from>
    <xdr:to>
      <xdr:col>2</xdr:col>
      <xdr:colOff>312424</xdr:colOff>
      <xdr:row>148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E6CAFC7-8228-4CF7-AEB1-3E5AC43A2814}"/>
            </a:ext>
          </a:extLst>
        </xdr:cNvPr>
        <xdr:cNvSpPr>
          <a:spLocks noChangeShapeType="1"/>
        </xdr:cNvSpPr>
      </xdr:nvSpPr>
      <xdr:spPr bwMode="auto">
        <a:xfrm>
          <a:off x="1741492" y="308228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0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2.bin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4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6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8.bin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0.bin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3"/>
  <sheetViews>
    <sheetView tabSelected="1" zoomScaleNormal="100" workbookViewId="0">
      <selection activeCell="I23" sqref="I23"/>
    </sheetView>
  </sheetViews>
  <sheetFormatPr defaultColWidth="8.5703125" defaultRowHeight="15.75"/>
  <cols>
    <col min="1" max="1" width="5.140625" style="247" customWidth="1"/>
    <col min="2" max="2" width="73.140625" style="3" bestFit="1" customWidth="1"/>
    <col min="3" max="3" width="14.5703125" style="3" customWidth="1"/>
    <col min="4" max="4" width="51.42578125" style="3" bestFit="1" customWidth="1"/>
    <col min="5" max="5" width="5.140625" style="247" customWidth="1"/>
    <col min="6" max="6" width="8.5703125" style="3"/>
    <col min="7" max="7" width="9.85546875" style="3" bestFit="1" customWidth="1"/>
    <col min="8" max="16384" width="8.5703125" style="3"/>
  </cols>
  <sheetData>
    <row r="1" spans="1:7">
      <c r="A1" s="562"/>
      <c r="B1" s="77"/>
      <c r="C1" s="77"/>
      <c r="D1" s="77"/>
      <c r="E1" s="562"/>
    </row>
    <row r="2" spans="1:7">
      <c r="A2" s="562"/>
      <c r="B2" s="1268" t="s">
        <v>0</v>
      </c>
      <c r="C2" s="1268"/>
      <c r="D2" s="1268"/>
      <c r="E2" s="77"/>
    </row>
    <row r="3" spans="1:7">
      <c r="B3" s="1268" t="s">
        <v>1</v>
      </c>
      <c r="C3" s="1268"/>
      <c r="D3" s="1268"/>
      <c r="E3" s="109"/>
    </row>
    <row r="4" spans="1:7">
      <c r="B4" s="1268" t="s">
        <v>2</v>
      </c>
      <c r="C4" s="1268"/>
      <c r="D4" s="1268"/>
      <c r="E4" s="109"/>
    </row>
    <row r="5" spans="1:7">
      <c r="A5" s="562"/>
      <c r="B5" s="1267" t="str">
        <f>"Rate Effective Period January 1, "&amp;Automation!B3+2 &amp;" to December 31, "&amp;Automation!B3+2</f>
        <v>Rate Effective Period January 1, 2026 to December 31, 2026</v>
      </c>
      <c r="C5" s="1267"/>
      <c r="D5" s="1267"/>
      <c r="E5" s="562"/>
    </row>
    <row r="6" spans="1:7">
      <c r="B6" s="1269" t="s">
        <v>3</v>
      </c>
      <c r="C6" s="1268"/>
      <c r="D6" s="1268"/>
      <c r="E6" s="109"/>
    </row>
    <row r="7" spans="1:7" ht="16.5" thickBot="1">
      <c r="A7" s="562"/>
      <c r="B7" s="77"/>
      <c r="C7" s="63"/>
      <c r="D7" s="63"/>
      <c r="E7" s="562"/>
    </row>
    <row r="8" spans="1:7">
      <c r="A8" s="563" t="s">
        <v>4</v>
      </c>
      <c r="B8" s="536"/>
      <c r="C8" s="537"/>
      <c r="D8" s="538"/>
      <c r="E8" s="564" t="s">
        <v>4</v>
      </c>
    </row>
    <row r="9" spans="1:7">
      <c r="A9" s="563" t="s">
        <v>5</v>
      </c>
      <c r="B9" s="952" t="s">
        <v>6</v>
      </c>
      <c r="C9" s="952" t="s">
        <v>7</v>
      </c>
      <c r="D9" s="953" t="s">
        <v>8</v>
      </c>
      <c r="E9" s="564" t="s">
        <v>5</v>
      </c>
    </row>
    <row r="10" spans="1:7">
      <c r="A10" s="563"/>
      <c r="B10" s="926"/>
      <c r="C10" s="56"/>
      <c r="D10" s="88"/>
      <c r="E10" s="564"/>
    </row>
    <row r="11" spans="1:7">
      <c r="A11" s="563">
        <v>1</v>
      </c>
      <c r="B11" s="848" t="s">
        <v>9</v>
      </c>
      <c r="C11" s="595">
        <f>'A. Sec.1 - Direct Maintenance'!E27</f>
        <v>0</v>
      </c>
      <c r="D11" s="89" t="str">
        <f>"Section 1; Page 1; Line "&amp;'A. Sec.1 - Direct Maintenance'!A27</f>
        <v>Section 1; Page 1; Line 17</v>
      </c>
      <c r="E11" s="564">
        <f>A11</f>
        <v>1</v>
      </c>
      <c r="G11" s="701"/>
    </row>
    <row r="12" spans="1:7">
      <c r="A12" s="563">
        <f>A11+1</f>
        <v>2</v>
      </c>
      <c r="B12" s="704"/>
      <c r="C12" s="596"/>
      <c r="D12" s="86"/>
      <c r="E12" s="564">
        <f>E11+1</f>
        <v>2</v>
      </c>
    </row>
    <row r="13" spans="1:7">
      <c r="A13" s="563">
        <f t="shared" ref="A13:A28" si="0">A12+1</f>
        <v>3</v>
      </c>
      <c r="B13" s="848" t="s">
        <v>10</v>
      </c>
      <c r="C13" s="597">
        <f>'B. Sec.2 - Non-Direct Expenses'!E35</f>
        <v>959.23995060856782</v>
      </c>
      <c r="D13" s="89" t="str">
        <f>"Section 2; Page 1; Line "&amp;'B. Sec.2 - Non-Direct Expenses'!A35</f>
        <v>Section 2; Page 1; Line 25</v>
      </c>
      <c r="E13" s="564">
        <f t="shared" ref="E13:E28" si="1">E12+1</f>
        <v>3</v>
      </c>
      <c r="G13" s="702"/>
    </row>
    <row r="14" spans="1:7">
      <c r="A14" s="563">
        <f t="shared" si="0"/>
        <v>4</v>
      </c>
      <c r="B14" s="704"/>
      <c r="C14" s="596"/>
      <c r="D14" s="90"/>
      <c r="E14" s="564">
        <f t="shared" si="1"/>
        <v>4</v>
      </c>
    </row>
    <row r="15" spans="1:7">
      <c r="A15" s="563">
        <f t="shared" si="0"/>
        <v>5</v>
      </c>
      <c r="B15" s="17" t="s">
        <v>11</v>
      </c>
      <c r="C15" s="1091">
        <f>'C. Sec.3 - Other Costs'!G42</f>
        <v>-6.9922339198772505</v>
      </c>
      <c r="D15" s="658" t="str">
        <f>"Section 3; Page 1; Line "&amp;'C. Sec.3 - Other Costs'!A42</f>
        <v>Section 3; Page 1; Line 31</v>
      </c>
      <c r="E15" s="564">
        <f t="shared" si="1"/>
        <v>5</v>
      </c>
      <c r="G15" s="702"/>
    </row>
    <row r="16" spans="1:7">
      <c r="A16" s="563">
        <f t="shared" si="0"/>
        <v>6</v>
      </c>
      <c r="B16" s="57"/>
      <c r="C16" s="831"/>
      <c r="D16" s="658"/>
      <c r="E16" s="564">
        <f t="shared" si="1"/>
        <v>6</v>
      </c>
      <c r="G16" s="702"/>
    </row>
    <row r="17" spans="1:12">
      <c r="A17" s="563">
        <f t="shared" si="0"/>
        <v>7</v>
      </c>
      <c r="B17" s="830" t="s">
        <v>12</v>
      </c>
      <c r="C17" s="899">
        <f>C11+C13+C15</f>
        <v>952.24771668869062</v>
      </c>
      <c r="D17" s="94" t="str">
        <f>"Sum Lines "&amp;A11&amp;", "&amp;A13&amp;", "&amp;A15</f>
        <v>Sum Lines 1, 3, 5</v>
      </c>
      <c r="E17" s="564">
        <f t="shared" si="1"/>
        <v>7</v>
      </c>
      <c r="G17" s="702"/>
    </row>
    <row r="18" spans="1:12">
      <c r="A18" s="563">
        <f t="shared" si="0"/>
        <v>8</v>
      </c>
      <c r="B18" s="87"/>
      <c r="C18" s="596"/>
      <c r="D18" s="91"/>
      <c r="E18" s="564">
        <f t="shared" si="1"/>
        <v>8</v>
      </c>
      <c r="G18" s="1263"/>
    </row>
    <row r="19" spans="1:12">
      <c r="A19" s="563">
        <f t="shared" si="0"/>
        <v>9</v>
      </c>
      <c r="B19" s="848" t="s">
        <v>13</v>
      </c>
      <c r="C19" s="660">
        <f>'D. Sec.4 - TU'!M30</f>
        <v>81.888095606152191</v>
      </c>
      <c r="D19" s="658" t="str">
        <f>"Section 4; Page TU; Col. 11; Line "&amp;'D. Sec.4 - TU'!A30</f>
        <v>Section 4; Page TU; Col. 11; Line 21</v>
      </c>
      <c r="E19" s="564">
        <f t="shared" si="1"/>
        <v>9</v>
      </c>
      <c r="G19" s="1263"/>
    </row>
    <row r="20" spans="1:12">
      <c r="A20" s="563">
        <f t="shared" si="0"/>
        <v>10</v>
      </c>
      <c r="B20" s="848"/>
      <c r="C20" s="596"/>
      <c r="D20" s="92"/>
      <c r="E20" s="564">
        <f t="shared" si="1"/>
        <v>10</v>
      </c>
      <c r="G20" s="1263"/>
    </row>
    <row r="21" spans="1:12">
      <c r="A21" s="563">
        <f t="shared" si="0"/>
        <v>11</v>
      </c>
      <c r="B21" s="848" t="s">
        <v>14</v>
      </c>
      <c r="C21" s="1091">
        <f>'E1. Sec.5 - Interest TU (CY)'!H30</f>
        <v>1.7105873336075725</v>
      </c>
      <c r="D21" s="94" t="str">
        <f>"Section 5; Page Interest TU (CY); Col. 6; Line "&amp;'E1. Sec.5 - Interest TU (CY)'!A30</f>
        <v>Section 5; Page Interest TU (CY); Col. 6; Line 20</v>
      </c>
      <c r="E21" s="564">
        <f t="shared" si="1"/>
        <v>11</v>
      </c>
    </row>
    <row r="22" spans="1:12">
      <c r="A22" s="563">
        <f t="shared" si="0"/>
        <v>12</v>
      </c>
      <c r="B22" s="57"/>
      <c r="C22" s="829"/>
      <c r="D22" s="93"/>
      <c r="E22" s="564">
        <f t="shared" si="1"/>
        <v>12</v>
      </c>
    </row>
    <row r="23" spans="1:12">
      <c r="A23" s="563">
        <f t="shared" si="0"/>
        <v>13</v>
      </c>
      <c r="B23" s="57" t="s">
        <v>15</v>
      </c>
      <c r="C23" s="176">
        <f>C17+C19+C21</f>
        <v>1035.8463996284502</v>
      </c>
      <c r="D23" s="94" t="str">
        <f>"Sum Lines "&amp;A17&amp;", "&amp;A19&amp;", "&amp;A21</f>
        <v>Sum Lines 7, 9, 11</v>
      </c>
      <c r="E23" s="564">
        <f t="shared" si="1"/>
        <v>13</v>
      </c>
      <c r="G23" s="702"/>
    </row>
    <row r="24" spans="1:12">
      <c r="A24" s="563">
        <f t="shared" si="0"/>
        <v>14</v>
      </c>
      <c r="B24" s="793"/>
      <c r="C24" s="178"/>
      <c r="D24" s="94"/>
      <c r="E24" s="564">
        <f t="shared" si="1"/>
        <v>14</v>
      </c>
      <c r="G24" s="1241"/>
    </row>
    <row r="25" spans="1:12">
      <c r="A25" s="563">
        <f t="shared" si="0"/>
        <v>15</v>
      </c>
      <c r="B25" s="17" t="s">
        <v>16</v>
      </c>
      <c r="C25" s="1092">
        <v>12.13</v>
      </c>
      <c r="D25" s="94" t="s">
        <v>17</v>
      </c>
      <c r="E25" s="564">
        <f t="shared" si="1"/>
        <v>15</v>
      </c>
      <c r="G25"/>
      <c r="H25"/>
      <c r="I25"/>
      <c r="J25"/>
      <c r="K25"/>
      <c r="L25"/>
    </row>
    <row r="26" spans="1:12">
      <c r="A26" s="563">
        <f t="shared" si="0"/>
        <v>16</v>
      </c>
      <c r="B26" s="63"/>
      <c r="C26" s="927"/>
      <c r="D26" s="93"/>
      <c r="E26" s="564">
        <f t="shared" si="1"/>
        <v>16</v>
      </c>
      <c r="G26"/>
      <c r="H26"/>
      <c r="I26"/>
      <c r="J26"/>
      <c r="K26"/>
      <c r="L26"/>
    </row>
    <row r="27" spans="1:12" ht="16.5" thickBot="1">
      <c r="A27" s="563">
        <f t="shared" si="0"/>
        <v>17</v>
      </c>
      <c r="B27" s="830" t="s">
        <v>18</v>
      </c>
      <c r="C27" s="598">
        <f>C23+C25</f>
        <v>1047.9763996284503</v>
      </c>
      <c r="D27" s="93" t="str">
        <f>"Line "&amp;A23&amp;" + Line "&amp;A25</f>
        <v>Line 13 + Line 15</v>
      </c>
      <c r="E27" s="564">
        <f t="shared" si="1"/>
        <v>17</v>
      </c>
      <c r="H27" s="701"/>
      <c r="I27" s="703"/>
    </row>
    <row r="28" spans="1:12" ht="17.25" thickTop="1" thickBot="1">
      <c r="A28" s="563">
        <f t="shared" si="0"/>
        <v>18</v>
      </c>
      <c r="B28" s="928"/>
      <c r="C28" s="928"/>
      <c r="D28" s="96"/>
      <c r="E28" s="564">
        <f t="shared" si="1"/>
        <v>18</v>
      </c>
    </row>
    <row r="30" spans="1:12" ht="16.5" thickBot="1">
      <c r="A30" s="562"/>
      <c r="B30" s="929"/>
      <c r="C30" s="930"/>
      <c r="D30" s="930"/>
      <c r="E30" s="562"/>
    </row>
    <row r="31" spans="1:12">
      <c r="A31" s="563" t="s">
        <v>4</v>
      </c>
      <c r="B31" s="55"/>
      <c r="C31" s="55"/>
      <c r="D31" s="86"/>
      <c r="E31" s="564" t="s">
        <v>4</v>
      </c>
    </row>
    <row r="32" spans="1:12">
      <c r="A32" s="563" t="s">
        <v>5</v>
      </c>
      <c r="B32" s="952" t="s">
        <v>19</v>
      </c>
      <c r="C32" s="952" t="str">
        <f>C9</f>
        <v>Amounts</v>
      </c>
      <c r="D32" s="953" t="str">
        <f>D9</f>
        <v>Reference</v>
      </c>
      <c r="E32" s="564" t="s">
        <v>5</v>
      </c>
    </row>
    <row r="33" spans="1:7">
      <c r="A33" s="563">
        <f>A28+1</f>
        <v>19</v>
      </c>
      <c r="B33" s="54"/>
      <c r="C33" s="56"/>
      <c r="D33" s="88"/>
      <c r="E33" s="564">
        <f>E28+1</f>
        <v>19</v>
      </c>
    </row>
    <row r="34" spans="1:7">
      <c r="A34" s="563">
        <f>A33+1</f>
        <v>20</v>
      </c>
      <c r="B34" s="848" t="str">
        <f>B11</f>
        <v>Section 1 - Direct Maintenance Expense Cost Component</v>
      </c>
      <c r="C34" s="846">
        <f>C11/12</f>
        <v>0</v>
      </c>
      <c r="D34" s="89" t="str">
        <f>"Line "&amp;A11&amp;" / "&amp;C50&amp;" Months"</f>
        <v>Line 1 / 12 Months</v>
      </c>
      <c r="E34" s="564">
        <f>E33+1</f>
        <v>20</v>
      </c>
    </row>
    <row r="35" spans="1:7">
      <c r="A35" s="563">
        <f t="shared" ref="A35:A53" si="2">A34+1</f>
        <v>21</v>
      </c>
      <c r="B35" s="704"/>
      <c r="C35" s="25"/>
      <c r="D35" s="85"/>
      <c r="E35" s="564">
        <f t="shared" ref="E35:E53" si="3">E34+1</f>
        <v>21</v>
      </c>
    </row>
    <row r="36" spans="1:7">
      <c r="A36" s="563">
        <f t="shared" si="2"/>
        <v>22</v>
      </c>
      <c r="B36" s="848" t="str">
        <f>B13</f>
        <v>Section 2 - Non-Direct Expense Cost Component</v>
      </c>
      <c r="C36" s="847">
        <f>C13/12</f>
        <v>79.93666255071399</v>
      </c>
      <c r="D36" s="89" t="str">
        <f>"Line "&amp;A13&amp;" / "&amp;C50&amp;" Months"</f>
        <v>Line 3 / 12 Months</v>
      </c>
      <c r="E36" s="564">
        <f t="shared" si="3"/>
        <v>22</v>
      </c>
    </row>
    <row r="37" spans="1:7">
      <c r="A37" s="563">
        <f t="shared" si="2"/>
        <v>23</v>
      </c>
      <c r="B37" s="704"/>
      <c r="C37" s="797"/>
      <c r="D37" s="97"/>
      <c r="E37" s="564">
        <f t="shared" si="3"/>
        <v>23</v>
      </c>
    </row>
    <row r="38" spans="1:7">
      <c r="A38" s="563">
        <f t="shared" si="2"/>
        <v>24</v>
      </c>
      <c r="B38" s="848" t="str">
        <f>B15</f>
        <v>Section 3 - Cost Component Containing Other Specific Expenses</v>
      </c>
      <c r="C38" s="1093">
        <f>C15/12</f>
        <v>-0.58268615998977091</v>
      </c>
      <c r="D38" s="89" t="str">
        <f>"Line "&amp;A15&amp;" / "&amp;C50&amp;" Months"</f>
        <v>Line 5 / 12 Months</v>
      </c>
      <c r="E38" s="564">
        <f t="shared" si="3"/>
        <v>24</v>
      </c>
    </row>
    <row r="39" spans="1:7">
      <c r="A39" s="563">
        <f t="shared" si="2"/>
        <v>25</v>
      </c>
      <c r="B39" s="87"/>
      <c r="C39" s="796"/>
      <c r="D39" s="89"/>
      <c r="E39" s="564">
        <f t="shared" si="3"/>
        <v>25</v>
      </c>
    </row>
    <row r="40" spans="1:7">
      <c r="A40" s="563">
        <f t="shared" si="2"/>
        <v>26</v>
      </c>
      <c r="B40" s="830" t="s">
        <v>20</v>
      </c>
      <c r="C40" s="900">
        <f>C34+C36+C38</f>
        <v>79.353976390724213</v>
      </c>
      <c r="D40" s="94" t="str">
        <f>"Sum Lines "&amp;A34&amp;", "&amp;A36&amp;", "&amp;A38</f>
        <v>Sum Lines 20, 22, 24</v>
      </c>
      <c r="E40" s="564">
        <f t="shared" si="3"/>
        <v>26</v>
      </c>
    </row>
    <row r="41" spans="1:7">
      <c r="A41" s="563">
        <f t="shared" si="2"/>
        <v>27</v>
      </c>
      <c r="B41" s="54"/>
      <c r="C41" s="797"/>
      <c r="D41" s="90"/>
      <c r="E41" s="564">
        <f t="shared" si="3"/>
        <v>27</v>
      </c>
    </row>
    <row r="42" spans="1:7">
      <c r="A42" s="563">
        <f t="shared" si="2"/>
        <v>28</v>
      </c>
      <c r="B42" s="848" t="str">
        <f>LEFT(B19,45)</f>
        <v>Section 4 - True-Up Adjustment Cost Component</v>
      </c>
      <c r="C42" s="847">
        <f>C19/12</f>
        <v>6.824007967179349</v>
      </c>
      <c r="D42" s="89" t="str">
        <f>"Line "&amp;A19&amp;" / "&amp;C50&amp;" Months"</f>
        <v>Line 9 / 12 Months</v>
      </c>
      <c r="E42" s="564">
        <f t="shared" si="3"/>
        <v>28</v>
      </c>
    </row>
    <row r="43" spans="1:7">
      <c r="A43" s="563">
        <f t="shared" si="2"/>
        <v>29</v>
      </c>
      <c r="B43" s="848"/>
      <c r="C43" s="797"/>
      <c r="D43" s="98"/>
      <c r="E43" s="564">
        <f t="shared" si="3"/>
        <v>29</v>
      </c>
    </row>
    <row r="44" spans="1:7">
      <c r="A44" s="563">
        <f t="shared" si="2"/>
        <v>30</v>
      </c>
      <c r="B44" s="848" t="str">
        <f>B21</f>
        <v>Section 5 - Interest True-Up Adjustment Cost Component</v>
      </c>
      <c r="C44" s="847">
        <f>C21/12</f>
        <v>0.14254894446729771</v>
      </c>
      <c r="D44" s="93" t="str">
        <f>"Line "&amp;A21&amp;" / "&amp;C50&amp;" Months"</f>
        <v>Line 11 / 12 Months</v>
      </c>
      <c r="E44" s="564">
        <f t="shared" si="3"/>
        <v>30</v>
      </c>
    </row>
    <row r="45" spans="1:7">
      <c r="A45" s="563">
        <f t="shared" si="2"/>
        <v>31</v>
      </c>
      <c r="B45" s="87"/>
      <c r="C45" s="798"/>
      <c r="D45" s="95"/>
      <c r="E45" s="564">
        <f t="shared" si="3"/>
        <v>31</v>
      </c>
    </row>
    <row r="46" spans="1:7">
      <c r="A46" s="563">
        <f t="shared" si="2"/>
        <v>32</v>
      </c>
      <c r="B46" s="17" t="str">
        <f>B25</f>
        <v>Other Adjustments</v>
      </c>
      <c r="C46" s="1093">
        <f>C25/12</f>
        <v>1.0108333333333335</v>
      </c>
      <c r="D46" s="93" t="str">
        <f>"Line "&amp;A25&amp;" / "&amp;C50&amp;" Months"</f>
        <v>Line 15 / 12 Months</v>
      </c>
      <c r="E46" s="564">
        <f t="shared" si="3"/>
        <v>32</v>
      </c>
      <c r="G46" s="1241"/>
    </row>
    <row r="47" spans="1:7">
      <c r="A47" s="563">
        <f t="shared" si="2"/>
        <v>33</v>
      </c>
      <c r="B47" s="57"/>
      <c r="C47" s="798"/>
      <c r="D47" s="794"/>
      <c r="E47" s="564">
        <f t="shared" si="3"/>
        <v>33</v>
      </c>
    </row>
    <row r="48" spans="1:7" ht="16.5" thickBot="1">
      <c r="A48" s="563">
        <f t="shared" si="2"/>
        <v>34</v>
      </c>
      <c r="B48" s="57" t="s">
        <v>21</v>
      </c>
      <c r="C48" s="849">
        <f>C27/12</f>
        <v>87.331366635704185</v>
      </c>
      <c r="D48" s="94" t="str">
        <f>"Sum Lines "&amp;A40&amp;", "&amp;A42&amp;", "&amp;A44&amp;", "&amp;A46</f>
        <v>Sum Lines 26, 28, 30, 32</v>
      </c>
      <c r="E48" s="564">
        <f t="shared" si="3"/>
        <v>34</v>
      </c>
      <c r="G48" s="736"/>
    </row>
    <row r="49" spans="1:5" ht="16.5" thickTop="1">
      <c r="A49" s="563">
        <f t="shared" si="2"/>
        <v>35</v>
      </c>
      <c r="B49" s="54"/>
      <c r="C49" s="931"/>
      <c r="D49" s="99"/>
      <c r="E49" s="564">
        <f t="shared" si="3"/>
        <v>35</v>
      </c>
    </row>
    <row r="50" spans="1:5">
      <c r="A50" s="563">
        <f t="shared" si="2"/>
        <v>36</v>
      </c>
      <c r="B50" s="704" t="s">
        <v>22</v>
      </c>
      <c r="C50" s="1094">
        <v>12</v>
      </c>
      <c r="D50" s="99"/>
      <c r="E50" s="564">
        <f t="shared" si="3"/>
        <v>36</v>
      </c>
    </row>
    <row r="51" spans="1:5">
      <c r="A51" s="563">
        <f t="shared" si="2"/>
        <v>37</v>
      </c>
      <c r="B51" s="54"/>
      <c r="C51" s="931"/>
      <c r="D51" s="100"/>
      <c r="E51" s="564">
        <f t="shared" si="3"/>
        <v>37</v>
      </c>
    </row>
    <row r="52" spans="1:5" ht="16.5" thickBot="1">
      <c r="A52" s="563">
        <f t="shared" si="2"/>
        <v>38</v>
      </c>
      <c r="B52" s="830" t="str">
        <f>B27</f>
        <v>Total Annual Costs</v>
      </c>
      <c r="C52" s="1209">
        <f>C48*C50</f>
        <v>1047.9763996284503</v>
      </c>
      <c r="D52" s="93" t="str">
        <f>"Line "&amp;A48&amp;" x Line "&amp;A50</f>
        <v>Line 34 x Line 36</v>
      </c>
      <c r="E52" s="564">
        <f t="shared" si="3"/>
        <v>38</v>
      </c>
    </row>
    <row r="53" spans="1:5" ht="17.25" thickTop="1" thickBot="1">
      <c r="A53" s="563">
        <f t="shared" si="2"/>
        <v>39</v>
      </c>
      <c r="B53" s="932"/>
      <c r="C53" s="24"/>
      <c r="D53" s="101"/>
      <c r="E53" s="564">
        <f t="shared" si="3"/>
        <v>39</v>
      </c>
    </row>
  </sheetData>
  <mergeCells count="5">
    <mergeCell ref="B5:D5"/>
    <mergeCell ref="B3:D3"/>
    <mergeCell ref="B4:D4"/>
    <mergeCell ref="B6:D6"/>
    <mergeCell ref="B2:D2"/>
  </mergeCells>
  <printOptions horizontalCentered="1"/>
  <pageMargins left="0.5" right="0.5" top="0.5" bottom="0.5" header="0.25" footer="0.25"/>
  <pageSetup scale="64" orientation="portrait" r:id="rId1"/>
  <headerFooter scaleWithDoc="0">
    <oddFooter xml:space="preserve">&amp;C&amp;"Times New Roman,Regular"&amp;10Summary of Cost Components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28"/>
  <sheetViews>
    <sheetView zoomScale="80" zoomScaleNormal="80" workbookViewId="0">
      <selection activeCell="E19" sqref="E19"/>
    </sheetView>
  </sheetViews>
  <sheetFormatPr defaultColWidth="8.5703125" defaultRowHeight="15.75"/>
  <cols>
    <col min="1" max="1" width="5.140625" style="247" customWidth="1"/>
    <col min="2" max="2" width="89.5703125" style="3" bestFit="1" customWidth="1"/>
    <col min="3" max="3" width="10.42578125" style="3" customWidth="1"/>
    <col min="4" max="4" width="1.5703125" style="3" customWidth="1"/>
    <col min="5" max="5" width="16.5703125" style="3" customWidth="1"/>
    <col min="6" max="6" width="1.5703125" style="3" customWidth="1"/>
    <col min="7" max="7" width="43.42578125" style="3" customWidth="1"/>
    <col min="8" max="8" width="5.140625" style="247" customWidth="1"/>
    <col min="9" max="16384" width="8.5703125" style="3"/>
  </cols>
  <sheetData>
    <row r="2" spans="1:8">
      <c r="B2" s="1270" t="str">
        <f>'Summary of Cost Components'!B2:D2</f>
        <v>SAN DIEGO GAS &amp; ELECTRIC COMPANY</v>
      </c>
      <c r="C2" s="1270"/>
      <c r="D2" s="1270"/>
      <c r="E2" s="1270"/>
      <c r="F2" s="1270"/>
      <c r="G2" s="1270"/>
    </row>
    <row r="3" spans="1:8" ht="15.75" customHeight="1">
      <c r="B3" s="1270" t="str">
        <f>'Summary of Cost Components'!B3:D3</f>
        <v>CITIZENS' SHARE OF THE SX-PQ UNDERGROUND LINE SEGMENT</v>
      </c>
      <c r="C3" s="1270"/>
      <c r="D3" s="1270"/>
      <c r="E3" s="1270"/>
      <c r="F3" s="1270"/>
      <c r="G3" s="1270"/>
      <c r="H3" s="566"/>
    </row>
    <row r="4" spans="1:8">
      <c r="B4" s="1271" t="s">
        <v>9</v>
      </c>
      <c r="C4" s="1271"/>
      <c r="D4" s="1271"/>
      <c r="E4" s="1271"/>
      <c r="F4" s="1271"/>
      <c r="G4" s="1271"/>
      <c r="H4" s="565"/>
    </row>
    <row r="5" spans="1:8">
      <c r="B5" s="1272" t="str">
        <f>"Base Period &amp; True-Up Period 12 - Months Ending December 31, "&amp;Automation!B3</f>
        <v>Base Period &amp; True-Up Period 12 - Months Ending December 31, 2024</v>
      </c>
      <c r="C5" s="1272"/>
      <c r="D5" s="1272"/>
      <c r="E5" s="1272"/>
      <c r="F5" s="1272"/>
      <c r="G5" s="1272"/>
      <c r="H5" s="565"/>
    </row>
    <row r="6" spans="1:8">
      <c r="B6" s="1273" t="s">
        <v>3</v>
      </c>
      <c r="C6" s="1273"/>
      <c r="D6" s="1273"/>
      <c r="E6" s="1273"/>
      <c r="F6" s="1273"/>
      <c r="G6" s="1273"/>
      <c r="H6" s="567"/>
    </row>
    <row r="8" spans="1:8">
      <c r="A8" s="562" t="s">
        <v>4</v>
      </c>
      <c r="B8" s="44"/>
      <c r="C8" s="44"/>
      <c r="D8" s="44"/>
      <c r="E8" s="48"/>
      <c r="F8" s="48"/>
      <c r="G8" s="44"/>
      <c r="H8" s="562" t="s">
        <v>4</v>
      </c>
    </row>
    <row r="9" spans="1:8">
      <c r="A9" s="562" t="s">
        <v>5</v>
      </c>
      <c r="B9" s="44"/>
      <c r="C9" s="44"/>
      <c r="D9" s="44"/>
      <c r="E9" s="942" t="s">
        <v>7</v>
      </c>
      <c r="F9" s="21"/>
      <c r="G9" s="942" t="s">
        <v>8</v>
      </c>
      <c r="H9" s="562" t="s">
        <v>5</v>
      </c>
    </row>
    <row r="10" spans="1:8">
      <c r="A10" s="565"/>
      <c r="B10" s="44"/>
      <c r="C10" s="44"/>
      <c r="D10" s="44"/>
      <c r="E10" s="59"/>
      <c r="F10" s="21"/>
      <c r="G10" s="59"/>
      <c r="H10" s="562"/>
    </row>
    <row r="11" spans="1:8">
      <c r="A11" s="562">
        <v>1</v>
      </c>
      <c r="B11" s="15" t="s">
        <v>23</v>
      </c>
      <c r="C11" s="15"/>
      <c r="D11" s="15"/>
      <c r="E11" s="44"/>
      <c r="F11" s="44"/>
      <c r="G11" s="44"/>
      <c r="H11" s="562">
        <f>A11</f>
        <v>1</v>
      </c>
    </row>
    <row r="12" spans="1:8">
      <c r="A12" s="562">
        <f>A11+1</f>
        <v>2</v>
      </c>
      <c r="B12" s="59" t="s">
        <v>24</v>
      </c>
      <c r="C12" s="59"/>
      <c r="D12" s="59"/>
      <c r="E12" s="599">
        <f>'Stmt AH'!E12</f>
        <v>0</v>
      </c>
      <c r="F12" s="44"/>
      <c r="G12" s="21" t="str">
        <f>"Statement AH; Line "&amp;'Stmt AH'!A12</f>
        <v>Statement AH; Line 2</v>
      </c>
      <c r="H12" s="562">
        <f>H11+1</f>
        <v>2</v>
      </c>
    </row>
    <row r="13" spans="1:8">
      <c r="A13" s="562">
        <f t="shared" ref="A13:A27" si="0">A12+1</f>
        <v>3</v>
      </c>
      <c r="B13" s="59" t="s">
        <v>25</v>
      </c>
      <c r="C13" s="59"/>
      <c r="D13" s="59"/>
      <c r="E13" s="1095">
        <v>0.13100000000000001</v>
      </c>
      <c r="F13" s="44"/>
      <c r="G13" s="44"/>
      <c r="H13" s="562">
        <f t="shared" ref="H13:H27" si="1">H12+1</f>
        <v>3</v>
      </c>
    </row>
    <row r="14" spans="1:8">
      <c r="A14" s="562">
        <f t="shared" si="0"/>
        <v>4</v>
      </c>
      <c r="B14" s="59" t="s">
        <v>26</v>
      </c>
      <c r="C14" s="59"/>
      <c r="D14" s="59"/>
      <c r="E14" s="600">
        <f>E12*E13</f>
        <v>0</v>
      </c>
      <c r="F14" s="14"/>
      <c r="G14" s="21" t="str">
        <f>"Line "&amp;A12&amp;" x Line "&amp;A13</f>
        <v>Line 2 x Line 3</v>
      </c>
      <c r="H14" s="562">
        <f t="shared" si="1"/>
        <v>4</v>
      </c>
    </row>
    <row r="15" spans="1:8">
      <c r="A15" s="562">
        <f t="shared" si="0"/>
        <v>5</v>
      </c>
      <c r="B15" s="59"/>
      <c r="C15" s="59"/>
      <c r="D15" s="59"/>
      <c r="E15" s="569"/>
      <c r="F15" s="59"/>
      <c r="G15" s="21"/>
      <c r="H15" s="562">
        <f t="shared" si="1"/>
        <v>5</v>
      </c>
    </row>
    <row r="16" spans="1:8">
      <c r="A16" s="562">
        <f t="shared" si="0"/>
        <v>6</v>
      </c>
      <c r="B16" s="136" t="s">
        <v>27</v>
      </c>
      <c r="C16" s="136"/>
      <c r="D16" s="136"/>
      <c r="E16" s="1095">
        <f>1/8</f>
        <v>0.125</v>
      </c>
      <c r="F16" s="44"/>
      <c r="G16" s="21" t="s">
        <v>28</v>
      </c>
      <c r="H16" s="562">
        <f t="shared" si="1"/>
        <v>6</v>
      </c>
    </row>
    <row r="17" spans="1:14">
      <c r="A17" s="562">
        <f t="shared" si="0"/>
        <v>7</v>
      </c>
      <c r="B17" s="59" t="s">
        <v>29</v>
      </c>
      <c r="C17" s="59"/>
      <c r="D17" s="59"/>
      <c r="E17" s="600">
        <f>E14*E16</f>
        <v>0</v>
      </c>
      <c r="F17" s="14"/>
      <c r="G17" s="21" t="str">
        <f>"Line "&amp;A14&amp;" x Line "&amp;A16</f>
        <v>Line 4 x Line 6</v>
      </c>
      <c r="H17" s="562">
        <f t="shared" si="1"/>
        <v>7</v>
      </c>
    </row>
    <row r="18" spans="1:14">
      <c r="A18" s="562">
        <f t="shared" si="0"/>
        <v>8</v>
      </c>
      <c r="B18" s="59"/>
      <c r="C18" s="59"/>
      <c r="D18" s="59"/>
      <c r="E18" s="569"/>
      <c r="F18" s="59"/>
      <c r="G18" s="21"/>
      <c r="H18" s="562">
        <f t="shared" si="1"/>
        <v>8</v>
      </c>
    </row>
    <row r="19" spans="1:14">
      <c r="A19" s="562">
        <f t="shared" si="0"/>
        <v>9</v>
      </c>
      <c r="B19" s="59" t="s">
        <v>30</v>
      </c>
      <c r="C19" s="59"/>
      <c r="D19" s="59"/>
      <c r="E19" s="943">
        <f>'Stmt AV'!G110</f>
        <v>9.5889980198751917E-2</v>
      </c>
      <c r="F19" s="44"/>
      <c r="G19" s="26" t="str">
        <f>"Statement AV2; Line "&amp;'Stmt AV'!A110</f>
        <v>Statement AV2; Line 31</v>
      </c>
      <c r="H19" s="562">
        <f t="shared" si="1"/>
        <v>9</v>
      </c>
    </row>
    <row r="20" spans="1:14">
      <c r="A20" s="562">
        <f t="shared" si="0"/>
        <v>10</v>
      </c>
      <c r="B20" s="59"/>
      <c r="C20" s="59"/>
      <c r="D20" s="59"/>
      <c r="E20" s="569"/>
      <c r="F20" s="59"/>
      <c r="G20" s="21"/>
      <c r="H20" s="562">
        <f t="shared" si="1"/>
        <v>10</v>
      </c>
    </row>
    <row r="21" spans="1:14">
      <c r="A21" s="562">
        <f t="shared" si="0"/>
        <v>11</v>
      </c>
      <c r="B21" s="59" t="s">
        <v>31</v>
      </c>
      <c r="C21" s="59"/>
      <c r="D21" s="59"/>
      <c r="E21" s="1096">
        <f>E19*E17</f>
        <v>0</v>
      </c>
      <c r="F21" s="522"/>
      <c r="G21" s="21" t="str">
        <f>"Line "&amp;A17&amp;" x Line "&amp;A19</f>
        <v>Line 7 x Line 9</v>
      </c>
      <c r="H21" s="562">
        <f t="shared" si="1"/>
        <v>11</v>
      </c>
    </row>
    <row r="22" spans="1:14">
      <c r="A22" s="562">
        <f t="shared" si="0"/>
        <v>12</v>
      </c>
      <c r="B22" s="59"/>
      <c r="C22" s="59"/>
      <c r="D22" s="59"/>
      <c r="E22" s="569"/>
      <c r="F22" s="59"/>
      <c r="G22" s="21"/>
      <c r="H22" s="562">
        <f t="shared" si="1"/>
        <v>12</v>
      </c>
    </row>
    <row r="23" spans="1:14">
      <c r="A23" s="562">
        <f t="shared" si="0"/>
        <v>13</v>
      </c>
      <c r="B23" s="59" t="s">
        <v>32</v>
      </c>
      <c r="C23" s="59"/>
      <c r="D23" s="59"/>
      <c r="E23" s="601">
        <f>E21+E14</f>
        <v>0</v>
      </c>
      <c r="F23" s="522"/>
      <c r="G23" s="21" t="str">
        <f>"Line "&amp;A14&amp;" + Line "&amp;A21</f>
        <v>Line 4 + Line 11</v>
      </c>
      <c r="H23" s="562">
        <f t="shared" si="1"/>
        <v>13</v>
      </c>
    </row>
    <row r="24" spans="1:14">
      <c r="A24" s="562">
        <f t="shared" si="0"/>
        <v>14</v>
      </c>
      <c r="B24" s="59"/>
      <c r="C24" s="59"/>
      <c r="D24" s="59"/>
      <c r="E24" s="602"/>
      <c r="F24" s="22"/>
      <c r="G24" s="21"/>
      <c r="H24" s="562">
        <f t="shared" si="1"/>
        <v>14</v>
      </c>
    </row>
    <row r="25" spans="1:14">
      <c r="A25" s="562">
        <f t="shared" si="0"/>
        <v>15</v>
      </c>
      <c r="B25" s="59" t="s">
        <v>33</v>
      </c>
      <c r="C25" s="604">
        <v>1.0207000000000001E-2</v>
      </c>
      <c r="D25" s="59"/>
      <c r="E25" s="1096">
        <f>E23*C25</f>
        <v>0</v>
      </c>
      <c r="F25" s="522"/>
      <c r="G25" s="21" t="str">
        <f>"Line "&amp;A23&amp;" x Franchise Fee Rate"</f>
        <v>Line 13 x Franchise Fee Rate</v>
      </c>
      <c r="H25" s="562">
        <f t="shared" si="1"/>
        <v>15</v>
      </c>
      <c r="J25"/>
      <c r="K25"/>
      <c r="L25"/>
      <c r="M25"/>
      <c r="N25"/>
    </row>
    <row r="26" spans="1:14">
      <c r="A26" s="562">
        <f t="shared" si="0"/>
        <v>16</v>
      </c>
      <c r="B26" s="59"/>
      <c r="C26" s="59"/>
      <c r="D26" s="59"/>
      <c r="E26" s="603"/>
      <c r="F26" s="23"/>
      <c r="G26" s="21"/>
      <c r="H26" s="562">
        <f t="shared" si="1"/>
        <v>16</v>
      </c>
    </row>
    <row r="27" spans="1:14" ht="16.5" thickBot="1">
      <c r="A27" s="562">
        <f t="shared" si="0"/>
        <v>17</v>
      </c>
      <c r="B27" s="44" t="s">
        <v>34</v>
      </c>
      <c r="C27" s="59"/>
      <c r="D27" s="59"/>
      <c r="E27" s="933">
        <f>E25+E23</f>
        <v>0</v>
      </c>
      <c r="F27" s="546"/>
      <c r="G27" s="21" t="str">
        <f>"Line "&amp;A23&amp;" + Line "&amp;A25</f>
        <v>Line 13 + Line 15</v>
      </c>
      <c r="H27" s="562">
        <f t="shared" si="1"/>
        <v>17</v>
      </c>
    </row>
    <row r="28" spans="1:14" ht="16.5" thickTop="1"/>
  </sheetData>
  <mergeCells count="5">
    <mergeCell ref="B3:G3"/>
    <mergeCell ref="B4:G4"/>
    <mergeCell ref="B5:G5"/>
    <mergeCell ref="B6:G6"/>
    <mergeCell ref="B2:G2"/>
  </mergeCells>
  <printOptions horizontalCentered="1"/>
  <pageMargins left="0.5" right="0.5" top="0.5" bottom="0.5" header="0.25" footer="0.25"/>
  <pageSetup scale="55" orientation="portrait" r:id="rId1"/>
  <headerFooter scaleWithDoc="0">
    <oddFooter xml:space="preserve">&amp;C&amp;"Times New Roman,Regular"&amp;10Section 1
Direct Maintenance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58"/>
  <sheetViews>
    <sheetView zoomScale="80" zoomScaleNormal="80" zoomScalePageLayoutView="30" workbookViewId="0">
      <selection activeCell="E99" sqref="E99"/>
    </sheetView>
  </sheetViews>
  <sheetFormatPr defaultColWidth="8.5703125" defaultRowHeight="15.75"/>
  <cols>
    <col min="1" max="1" width="5.140625" style="216" customWidth="1"/>
    <col min="2" max="2" width="93.140625" style="3" bestFit="1" customWidth="1"/>
    <col min="3" max="3" width="10.42578125" style="3" customWidth="1"/>
    <col min="4" max="4" width="1.5703125" style="3" customWidth="1"/>
    <col min="5" max="5" width="16.5703125" style="3" customWidth="1"/>
    <col min="6" max="6" width="1.5703125" style="3" customWidth="1"/>
    <col min="7" max="7" width="43.42578125" style="3" customWidth="1"/>
    <col min="8" max="8" width="5.140625" style="247" customWidth="1"/>
    <col min="9" max="9" width="8.5703125" style="3"/>
    <col min="10" max="10" width="9.5703125" style="3" bestFit="1" customWidth="1"/>
    <col min="11" max="16384" width="8.5703125" style="3"/>
  </cols>
  <sheetData>
    <row r="1" spans="1:8">
      <c r="A1" s="568"/>
      <c r="B1" s="28"/>
      <c r="C1" s="28"/>
      <c r="D1" s="28"/>
      <c r="E1" s="59"/>
      <c r="F1" s="59"/>
      <c r="G1" s="59"/>
      <c r="H1" s="562"/>
    </row>
    <row r="2" spans="1:8">
      <c r="A2" s="568"/>
      <c r="B2" s="1274" t="str">
        <f>'Summary of Cost Components'!B2:D2</f>
        <v>SAN DIEGO GAS &amp; ELECTRIC COMPANY</v>
      </c>
      <c r="C2" s="1274"/>
      <c r="D2" s="1274"/>
      <c r="E2" s="1274"/>
      <c r="F2" s="1274"/>
      <c r="G2" s="1274"/>
      <c r="H2" s="562"/>
    </row>
    <row r="3" spans="1:8">
      <c r="B3" s="1274" t="str">
        <f>'Summary of Cost Components'!B3:D3</f>
        <v>CITIZENS' SHARE OF THE SX-PQ UNDERGROUND LINE SEGMENT</v>
      </c>
      <c r="C3" s="1274"/>
      <c r="D3" s="1274"/>
      <c r="E3" s="1274"/>
      <c r="F3" s="1274"/>
      <c r="G3" s="1274"/>
      <c r="H3" s="568"/>
    </row>
    <row r="4" spans="1:8">
      <c r="B4" s="1274" t="s">
        <v>35</v>
      </c>
      <c r="C4" s="1274"/>
      <c r="D4" s="1274"/>
      <c r="E4" s="1274"/>
      <c r="F4" s="1274"/>
      <c r="G4" s="1274"/>
      <c r="H4" s="568"/>
    </row>
    <row r="5" spans="1:8">
      <c r="B5" s="1275" t="str">
        <f>'A. Sec.1 - Direct Maintenance'!B5</f>
        <v>Base Period &amp; True-Up Period 12 - Months Ending December 31, 2024</v>
      </c>
      <c r="C5" s="1275"/>
      <c r="D5" s="1275"/>
      <c r="E5" s="1275"/>
      <c r="F5" s="1275"/>
      <c r="G5" s="1275"/>
      <c r="H5" s="568"/>
    </row>
    <row r="6" spans="1:8">
      <c r="B6" s="1276" t="s">
        <v>3</v>
      </c>
      <c r="C6" s="1276"/>
      <c r="D6" s="1276"/>
      <c r="E6" s="1276"/>
      <c r="F6" s="1276"/>
      <c r="G6" s="1276"/>
      <c r="H6" s="573"/>
    </row>
    <row r="7" spans="1:8">
      <c r="A7" s="569"/>
      <c r="B7" s="27"/>
      <c r="C7" s="27"/>
      <c r="D7" s="27"/>
      <c r="E7" s="27"/>
      <c r="F7" s="27"/>
      <c r="G7" s="59"/>
      <c r="H7" s="562"/>
    </row>
    <row r="8" spans="1:8">
      <c r="A8" s="570" t="s">
        <v>4</v>
      </c>
      <c r="B8" s="28"/>
      <c r="C8" s="28"/>
      <c r="D8" s="28"/>
      <c r="E8" s="27"/>
      <c r="F8" s="27"/>
      <c r="G8" s="28"/>
      <c r="H8" s="570" t="s">
        <v>4</v>
      </c>
    </row>
    <row r="9" spans="1:8">
      <c r="A9" s="570" t="s">
        <v>5</v>
      </c>
      <c r="B9" s="28"/>
      <c r="C9" s="28"/>
      <c r="D9" s="28"/>
      <c r="E9" s="1097" t="s">
        <v>7</v>
      </c>
      <c r="F9" s="31"/>
      <c r="G9" s="1097" t="s">
        <v>8</v>
      </c>
      <c r="H9" s="570" t="s">
        <v>5</v>
      </c>
    </row>
    <row r="10" spans="1:8">
      <c r="A10" s="570"/>
      <c r="B10" s="28"/>
      <c r="C10" s="28"/>
      <c r="D10" s="28"/>
      <c r="E10" s="27"/>
      <c r="F10" s="31"/>
      <c r="G10" s="27"/>
      <c r="H10" s="570"/>
    </row>
    <row r="11" spans="1:8">
      <c r="A11" s="570">
        <v>1</v>
      </c>
      <c r="B11" s="30" t="s">
        <v>36</v>
      </c>
      <c r="C11" s="30"/>
      <c r="D11" s="30"/>
      <c r="E11" s="59"/>
      <c r="F11" s="59"/>
      <c r="G11" s="27"/>
      <c r="H11" s="570">
        <f>A11</f>
        <v>1</v>
      </c>
    </row>
    <row r="12" spans="1:8">
      <c r="A12" s="570">
        <f>A11+1</f>
        <v>2</v>
      </c>
      <c r="B12" s="32" t="s">
        <v>37</v>
      </c>
      <c r="C12" s="605"/>
      <c r="D12" s="605"/>
      <c r="E12" s="606">
        <f>E52</f>
        <v>7.7260234388360572E-3</v>
      </c>
      <c r="F12" s="542"/>
      <c r="G12" s="26" t="str">
        <f>"Page 2; Line "&amp;A52</f>
        <v>Page 2; Line 6</v>
      </c>
      <c r="H12" s="570">
        <f>H11+1</f>
        <v>2</v>
      </c>
    </row>
    <row r="13" spans="1:8">
      <c r="A13" s="570">
        <f t="shared" ref="A13:A35" si="0">A12+1</f>
        <v>3</v>
      </c>
      <c r="B13" s="28"/>
      <c r="C13" s="572"/>
      <c r="D13" s="572"/>
      <c r="E13" s="607"/>
      <c r="F13" s="31"/>
      <c r="G13" s="26"/>
      <c r="H13" s="570">
        <f t="shared" ref="H13:H35" si="1">H12+1</f>
        <v>3</v>
      </c>
    </row>
    <row r="14" spans="1:8">
      <c r="A14" s="570">
        <f t="shared" si="0"/>
        <v>4</v>
      </c>
      <c r="B14" s="32" t="s">
        <v>38</v>
      </c>
      <c r="C14" s="605"/>
      <c r="D14" s="605"/>
      <c r="E14" s="606">
        <f>E57</f>
        <v>8.1952035622065451E-3</v>
      </c>
      <c r="F14" s="542"/>
      <c r="G14" s="26" t="str">
        <f>"Page 2; Line "&amp;A57</f>
        <v>Page 2; Line 11</v>
      </c>
      <c r="H14" s="570">
        <f t="shared" si="1"/>
        <v>4</v>
      </c>
    </row>
    <row r="15" spans="1:8">
      <c r="A15" s="570">
        <f t="shared" si="0"/>
        <v>5</v>
      </c>
      <c r="B15" s="59"/>
      <c r="C15" s="569"/>
      <c r="D15" s="569"/>
      <c r="E15" s="608"/>
      <c r="F15" s="543"/>
      <c r="G15" s="26"/>
      <c r="H15" s="570">
        <f t="shared" si="1"/>
        <v>5</v>
      </c>
    </row>
    <row r="16" spans="1:8">
      <c r="A16" s="570">
        <f t="shared" si="0"/>
        <v>6</v>
      </c>
      <c r="B16" s="59" t="s">
        <v>39</v>
      </c>
      <c r="C16" s="569"/>
      <c r="D16" s="569"/>
      <c r="E16" s="821">
        <f>E62</f>
        <v>1.1759587447684022E-2</v>
      </c>
      <c r="F16" s="543"/>
      <c r="G16" s="26" t="str">
        <f>"Page 2; Line "&amp;A62</f>
        <v>Page 2; Line 16</v>
      </c>
      <c r="H16" s="570">
        <f t="shared" si="1"/>
        <v>6</v>
      </c>
    </row>
    <row r="17" spans="1:14">
      <c r="A17" s="570">
        <f t="shared" si="0"/>
        <v>7</v>
      </c>
      <c r="B17" s="59"/>
      <c r="C17" s="569"/>
      <c r="D17" s="569"/>
      <c r="E17" s="608"/>
      <c r="F17" s="543"/>
      <c r="G17" s="26"/>
      <c r="H17" s="570">
        <f t="shared" si="1"/>
        <v>7</v>
      </c>
    </row>
    <row r="18" spans="1:14">
      <c r="A18" s="570">
        <f t="shared" si="0"/>
        <v>8</v>
      </c>
      <c r="B18" s="32" t="s">
        <v>40</v>
      </c>
      <c r="C18" s="605"/>
      <c r="D18" s="605"/>
      <c r="E18" s="606">
        <f>E67</f>
        <v>3.2500076068162651E-4</v>
      </c>
      <c r="F18" s="542"/>
      <c r="G18" s="26" t="str">
        <f>"Page 2; Line "&amp;A67</f>
        <v>Page 2; Line 21</v>
      </c>
      <c r="H18" s="570">
        <f t="shared" si="1"/>
        <v>8</v>
      </c>
    </row>
    <row r="19" spans="1:14">
      <c r="A19" s="570">
        <f t="shared" si="0"/>
        <v>9</v>
      </c>
      <c r="B19" s="28"/>
      <c r="C19" s="572"/>
      <c r="D19" s="572"/>
      <c r="E19" s="607"/>
      <c r="F19" s="31"/>
      <c r="G19" s="26"/>
      <c r="H19" s="570">
        <f t="shared" si="1"/>
        <v>9</v>
      </c>
    </row>
    <row r="20" spans="1:14">
      <c r="A20" s="570">
        <f t="shared" si="0"/>
        <v>10</v>
      </c>
      <c r="B20" s="32" t="s">
        <v>41</v>
      </c>
      <c r="C20" s="572"/>
      <c r="D20" s="572"/>
      <c r="E20" s="606">
        <f>E80</f>
        <v>1.5514436416432615E-3</v>
      </c>
      <c r="F20" s="31"/>
      <c r="G20" s="26" t="str">
        <f>"Page 2; Line "&amp;A80</f>
        <v>Page 2; Line 34</v>
      </c>
      <c r="H20" s="570">
        <f t="shared" si="1"/>
        <v>10</v>
      </c>
    </row>
    <row r="21" spans="1:14">
      <c r="A21" s="570">
        <f t="shared" si="0"/>
        <v>11</v>
      </c>
      <c r="B21" s="28"/>
      <c r="C21" s="572"/>
      <c r="D21" s="572"/>
      <c r="E21" s="607"/>
      <c r="F21" s="31"/>
      <c r="G21" s="26"/>
      <c r="H21" s="570">
        <f t="shared" si="1"/>
        <v>11</v>
      </c>
    </row>
    <row r="22" spans="1:14">
      <c r="A22" s="570">
        <f t="shared" si="0"/>
        <v>12</v>
      </c>
      <c r="B22" s="32" t="s">
        <v>42</v>
      </c>
      <c r="C22" s="605"/>
      <c r="D22" s="605"/>
      <c r="E22" s="606">
        <f>E97</f>
        <v>5.6111824467172597E-3</v>
      </c>
      <c r="F22" s="542"/>
      <c r="G22" s="26" t="str">
        <f>"Page 2; Line "&amp;A97</f>
        <v>Page 2; Line 51</v>
      </c>
      <c r="H22" s="570">
        <f t="shared" si="1"/>
        <v>12</v>
      </c>
    </row>
    <row r="23" spans="1:14">
      <c r="A23" s="570">
        <f t="shared" si="0"/>
        <v>13</v>
      </c>
      <c r="B23" s="705"/>
      <c r="C23" s="574"/>
      <c r="D23" s="574"/>
      <c r="E23" s="934"/>
      <c r="F23" s="43"/>
      <c r="G23" s="26"/>
      <c r="H23" s="570">
        <f t="shared" si="1"/>
        <v>13</v>
      </c>
    </row>
    <row r="24" spans="1:14">
      <c r="A24" s="570">
        <f t="shared" si="0"/>
        <v>14</v>
      </c>
      <c r="B24" s="32" t="s">
        <v>43</v>
      </c>
      <c r="C24" s="605"/>
      <c r="D24" s="605"/>
      <c r="E24" s="609">
        <f>SUM(E12:E22)</f>
        <v>3.5168441297768777E-2</v>
      </c>
      <c r="F24" s="542"/>
      <c r="G24" s="26" t="str">
        <f>"Sum Lines "&amp;A12&amp;" thru "&amp;A22&amp;""</f>
        <v>Sum Lines 2 thru 12</v>
      </c>
      <c r="H24" s="570">
        <f t="shared" si="1"/>
        <v>14</v>
      </c>
    </row>
    <row r="25" spans="1:14">
      <c r="A25" s="570">
        <f t="shared" si="0"/>
        <v>15</v>
      </c>
      <c r="B25" s="28"/>
      <c r="C25" s="572"/>
      <c r="D25" s="572"/>
      <c r="E25" s="610"/>
      <c r="F25" s="33"/>
      <c r="G25" s="26"/>
      <c r="H25" s="570">
        <f t="shared" si="1"/>
        <v>15</v>
      </c>
    </row>
    <row r="26" spans="1:14">
      <c r="A26" s="570">
        <f t="shared" si="0"/>
        <v>16</v>
      </c>
      <c r="B26" s="59" t="s">
        <v>33</v>
      </c>
      <c r="C26" s="611">
        <f>'A. Sec.1 - Direct Maintenance'!C25</f>
        <v>1.0207000000000001E-2</v>
      </c>
      <c r="D26" s="572"/>
      <c r="E26" s="935">
        <f>E24*C26</f>
        <v>3.5896428032632593E-4</v>
      </c>
      <c r="F26" s="518"/>
      <c r="G26" s="26" t="str">
        <f>"Line "&amp;A24&amp;" x Franchise Fee Rate"</f>
        <v>Line 14 x Franchise Fee Rate</v>
      </c>
      <c r="H26" s="570">
        <f t="shared" si="1"/>
        <v>16</v>
      </c>
      <c r="J26"/>
      <c r="K26"/>
      <c r="L26"/>
      <c r="M26"/>
      <c r="N26"/>
    </row>
    <row r="27" spans="1:14">
      <c r="A27" s="570">
        <f t="shared" si="0"/>
        <v>17</v>
      </c>
      <c r="B27" s="28"/>
      <c r="C27" s="572"/>
      <c r="D27" s="572"/>
      <c r="E27" s="936"/>
      <c r="F27" s="42"/>
      <c r="G27" s="26"/>
      <c r="H27" s="570">
        <f t="shared" si="1"/>
        <v>17</v>
      </c>
    </row>
    <row r="28" spans="1:14" ht="16.5" thickBot="1">
      <c r="A28" s="570">
        <f t="shared" si="0"/>
        <v>18</v>
      </c>
      <c r="B28" s="28" t="s">
        <v>44</v>
      </c>
      <c r="C28" s="572"/>
      <c r="D28" s="572"/>
      <c r="E28" s="612">
        <f>E24+E26</f>
        <v>3.5527405578095105E-2</v>
      </c>
      <c r="F28" s="547"/>
      <c r="G28" s="26" t="str">
        <f>"Line "&amp;A24&amp;" + Line "&amp;A26</f>
        <v>Line 14 + Line 16</v>
      </c>
      <c r="H28" s="570">
        <f t="shared" si="1"/>
        <v>18</v>
      </c>
    </row>
    <row r="29" spans="1:14" ht="16.5" thickTop="1">
      <c r="A29" s="570">
        <f t="shared" si="0"/>
        <v>19</v>
      </c>
      <c r="B29" s="59"/>
      <c r="C29" s="569"/>
      <c r="D29" s="569"/>
      <c r="E29" s="572"/>
      <c r="F29" s="28"/>
      <c r="G29" s="28"/>
      <c r="H29" s="570">
        <f t="shared" si="1"/>
        <v>19</v>
      </c>
    </row>
    <row r="30" spans="1:14">
      <c r="A30" s="570">
        <f t="shared" si="0"/>
        <v>20</v>
      </c>
      <c r="B30" s="30" t="s">
        <v>45</v>
      </c>
      <c r="C30" s="613"/>
      <c r="D30" s="613"/>
      <c r="E30" s="569"/>
      <c r="F30" s="59"/>
      <c r="G30" s="28"/>
      <c r="H30" s="570">
        <f t="shared" si="1"/>
        <v>20</v>
      </c>
    </row>
    <row r="31" spans="1:14">
      <c r="A31" s="570">
        <f t="shared" si="0"/>
        <v>21</v>
      </c>
      <c r="B31" s="32" t="s">
        <v>46</v>
      </c>
      <c r="C31" s="605"/>
      <c r="D31" s="605"/>
      <c r="E31" s="353">
        <v>27000</v>
      </c>
      <c r="F31" s="31"/>
      <c r="G31" s="26" t="s">
        <v>47</v>
      </c>
      <c r="H31" s="570">
        <f t="shared" si="1"/>
        <v>21</v>
      </c>
    </row>
    <row r="32" spans="1:14">
      <c r="A32" s="570">
        <f t="shared" si="0"/>
        <v>22</v>
      </c>
      <c r="B32" s="32"/>
      <c r="C32" s="605"/>
      <c r="D32" s="605"/>
      <c r="E32" s="605"/>
      <c r="F32" s="32"/>
      <c r="G32" s="26"/>
      <c r="H32" s="570">
        <f t="shared" si="1"/>
        <v>22</v>
      </c>
    </row>
    <row r="33" spans="1:8">
      <c r="A33" s="570">
        <f t="shared" si="0"/>
        <v>23</v>
      </c>
      <c r="B33" s="32" t="s">
        <v>48</v>
      </c>
      <c r="C33" s="605"/>
      <c r="D33" s="605"/>
      <c r="E33" s="609">
        <f>+E28</f>
        <v>3.5527405578095105E-2</v>
      </c>
      <c r="F33" s="542"/>
      <c r="G33" s="26" t="str">
        <f>"Line "&amp;A28&amp;" Above"</f>
        <v>Line 18 Above</v>
      </c>
      <c r="H33" s="570">
        <f t="shared" si="1"/>
        <v>23</v>
      </c>
    </row>
    <row r="34" spans="1:8">
      <c r="A34" s="570">
        <f t="shared" si="0"/>
        <v>24</v>
      </c>
      <c r="B34" s="28"/>
      <c r="C34" s="572"/>
      <c r="D34" s="572"/>
      <c r="E34" s="937"/>
      <c r="F34" s="548"/>
      <c r="G34" s="26"/>
      <c r="H34" s="570">
        <f t="shared" si="1"/>
        <v>24</v>
      </c>
    </row>
    <row r="35" spans="1:8" ht="16.5" thickBot="1">
      <c r="A35" s="570">
        <f t="shared" si="0"/>
        <v>25</v>
      </c>
      <c r="B35" s="28" t="s">
        <v>49</v>
      </c>
      <c r="C35" s="605"/>
      <c r="D35" s="605"/>
      <c r="E35" s="614">
        <f>E31*E33</f>
        <v>959.23995060856782</v>
      </c>
      <c r="F35" s="549"/>
      <c r="G35" s="26" t="str">
        <f>"Line "&amp;A31&amp;" x Line "&amp;A33</f>
        <v>Line 21 x Line 23</v>
      </c>
      <c r="H35" s="570">
        <f t="shared" si="1"/>
        <v>25</v>
      </c>
    </row>
    <row r="36" spans="1:8" ht="16.5" thickTop="1">
      <c r="A36" s="570"/>
      <c r="B36" s="28"/>
      <c r="C36" s="32"/>
      <c r="D36" s="32"/>
      <c r="E36" s="594"/>
      <c r="F36" s="549"/>
      <c r="G36" s="26"/>
      <c r="H36" s="570"/>
    </row>
    <row r="37" spans="1:8">
      <c r="A37" s="569"/>
      <c r="B37" s="28"/>
      <c r="C37" s="28"/>
      <c r="D37" s="28"/>
      <c r="E37" s="705"/>
      <c r="F37" s="705"/>
      <c r="G37" s="59"/>
      <c r="H37" s="562"/>
    </row>
    <row r="38" spans="1:8">
      <c r="A38" s="569"/>
      <c r="B38" s="1277" t="str">
        <f>B2</f>
        <v>SAN DIEGO GAS &amp; ELECTRIC COMPANY</v>
      </c>
      <c r="C38" s="1277"/>
      <c r="D38" s="1277"/>
      <c r="E38" s="1277"/>
      <c r="F38" s="1277"/>
      <c r="G38" s="1277"/>
      <c r="H38" s="562"/>
    </row>
    <row r="39" spans="1:8">
      <c r="B39" s="1277" t="str">
        <f>B3</f>
        <v>CITIZENS' SHARE OF THE SX-PQ UNDERGROUND LINE SEGMENT</v>
      </c>
      <c r="C39" s="1277"/>
      <c r="D39" s="1277"/>
      <c r="E39" s="1277"/>
      <c r="F39" s="1277"/>
      <c r="G39" s="1277"/>
      <c r="H39" s="574"/>
    </row>
    <row r="40" spans="1:8">
      <c r="B40" s="1274" t="str">
        <f>B4</f>
        <v xml:space="preserve">Section 2 - Non-Direct Expense Cost Component </v>
      </c>
      <c r="C40" s="1274"/>
      <c r="D40" s="1274"/>
      <c r="E40" s="1274"/>
      <c r="F40" s="1274"/>
      <c r="G40" s="1274"/>
      <c r="H40" s="572"/>
    </row>
    <row r="41" spans="1:8">
      <c r="B41" s="1275" t="str">
        <f>B5</f>
        <v>Base Period &amp; True-Up Period 12 - Months Ending December 31, 2024</v>
      </c>
      <c r="C41" s="1275"/>
      <c r="D41" s="1275"/>
      <c r="E41" s="1275"/>
      <c r="F41" s="1275"/>
      <c r="G41" s="1275"/>
      <c r="H41" s="572"/>
    </row>
    <row r="42" spans="1:8">
      <c r="B42" s="1276" t="str">
        <f>B6</f>
        <v>($1,000)</v>
      </c>
      <c r="C42" s="1268"/>
      <c r="D42" s="1268"/>
      <c r="E42" s="1268"/>
      <c r="F42" s="1268"/>
      <c r="G42" s="1268"/>
      <c r="H42" s="110"/>
    </row>
    <row r="43" spans="1:8">
      <c r="A43" s="571"/>
      <c r="B43" s="28"/>
      <c r="C43" s="28"/>
      <c r="D43" s="28"/>
      <c r="E43" s="28"/>
      <c r="F43" s="28"/>
      <c r="G43" s="28"/>
      <c r="H43" s="562"/>
    </row>
    <row r="44" spans="1:8">
      <c r="A44" s="570" t="s">
        <v>4</v>
      </c>
      <c r="B44" s="28"/>
      <c r="C44" s="28"/>
      <c r="D44" s="28"/>
      <c r="E44" s="27"/>
      <c r="F44" s="27"/>
      <c r="G44" s="28"/>
      <c r="H44" s="570" t="s">
        <v>4</v>
      </c>
    </row>
    <row r="45" spans="1:8">
      <c r="A45" s="570" t="s">
        <v>5</v>
      </c>
      <c r="B45" s="28"/>
      <c r="C45" s="28"/>
      <c r="D45" s="28"/>
      <c r="E45" s="1097" t="s">
        <v>7</v>
      </c>
      <c r="F45" s="26"/>
      <c r="G45" s="1097" t="s">
        <v>8</v>
      </c>
      <c r="H45" s="570" t="s">
        <v>5</v>
      </c>
    </row>
    <row r="46" spans="1:8">
      <c r="A46" s="570"/>
      <c r="B46" s="28"/>
      <c r="C46" s="28"/>
      <c r="D46" s="28"/>
      <c r="E46" s="27"/>
      <c r="F46" s="27"/>
      <c r="G46" s="28"/>
      <c r="H46" s="570"/>
    </row>
    <row r="47" spans="1:8">
      <c r="A47" s="570">
        <v>1</v>
      </c>
      <c r="B47" s="34" t="s">
        <v>50</v>
      </c>
      <c r="C47" s="34"/>
      <c r="D47" s="34"/>
      <c r="E47" s="706">
        <f>'AV-4'!C16</f>
        <v>6403144.449617778</v>
      </c>
      <c r="F47" s="27"/>
      <c r="G47" s="26" t="str">
        <f>"AV-4; Line "&amp;'AV-4'!A16&amp;""</f>
        <v>AV-4; Line 6</v>
      </c>
      <c r="H47" s="570">
        <f>A47</f>
        <v>1</v>
      </c>
    </row>
    <row r="48" spans="1:8">
      <c r="A48" s="570">
        <f>A47+1</f>
        <v>2</v>
      </c>
      <c r="B48" s="28"/>
      <c r="C48" s="28"/>
      <c r="D48" s="28"/>
      <c r="E48" s="568"/>
      <c r="F48" s="27"/>
      <c r="G48" s="28"/>
      <c r="H48" s="570">
        <f>H47+1</f>
        <v>2</v>
      </c>
    </row>
    <row r="49" spans="1:10">
      <c r="A49" s="570">
        <f t="shared" ref="A49:A97" si="2">A48+1</f>
        <v>3</v>
      </c>
      <c r="B49" s="30" t="s">
        <v>51</v>
      </c>
      <c r="C49" s="30"/>
      <c r="D49" s="30"/>
      <c r="E49" s="615"/>
      <c r="F49" s="35"/>
      <c r="G49" s="28"/>
      <c r="H49" s="570">
        <f t="shared" ref="H49:H97" si="3">H48+1</f>
        <v>3</v>
      </c>
    </row>
    <row r="50" spans="1:10">
      <c r="A50" s="570">
        <f t="shared" si="2"/>
        <v>4</v>
      </c>
      <c r="B50" s="32" t="s">
        <v>52</v>
      </c>
      <c r="C50" s="32"/>
      <c r="D50" s="32"/>
      <c r="E50" s="938">
        <f>'Stmt AH'!E27</f>
        <v>49470.844099999958</v>
      </c>
      <c r="F50" s="27"/>
      <c r="G50" s="26" t="str">
        <f>"Statement AH; Line "&amp;'Stmt AH'!A27</f>
        <v>Statement AH; Line 17</v>
      </c>
      <c r="H50" s="570">
        <f t="shared" si="3"/>
        <v>4</v>
      </c>
      <c r="J50" s="707"/>
    </row>
    <row r="51" spans="1:10">
      <c r="A51" s="570">
        <f t="shared" si="2"/>
        <v>5</v>
      </c>
      <c r="B51" s="32"/>
      <c r="C51" s="32"/>
      <c r="D51" s="32"/>
      <c r="E51" s="364"/>
      <c r="F51" s="36"/>
      <c r="G51" s="26"/>
      <c r="H51" s="570">
        <f t="shared" si="3"/>
        <v>5</v>
      </c>
      <c r="J51" s="707"/>
    </row>
    <row r="52" spans="1:10">
      <c r="A52" s="570">
        <f t="shared" si="2"/>
        <v>6</v>
      </c>
      <c r="B52" s="32" t="s">
        <v>53</v>
      </c>
      <c r="C52" s="28"/>
      <c r="D52" s="28"/>
      <c r="E52" s="616">
        <f>E50/E47</f>
        <v>7.7260234388360572E-3</v>
      </c>
      <c r="F52" s="58"/>
      <c r="G52" s="26" t="str">
        <f>"Line "&amp;A50&amp;" / Line "&amp;A47</f>
        <v>Line 4 / Line 1</v>
      </c>
      <c r="H52" s="570">
        <f t="shared" si="3"/>
        <v>6</v>
      </c>
      <c r="J52" s="707"/>
    </row>
    <row r="53" spans="1:10">
      <c r="A53" s="570">
        <f t="shared" si="2"/>
        <v>7</v>
      </c>
      <c r="B53" s="32"/>
      <c r="C53" s="32"/>
      <c r="D53" s="32"/>
      <c r="E53" s="708"/>
      <c r="F53" s="709"/>
      <c r="G53" s="26"/>
      <c r="H53" s="570">
        <f t="shared" si="3"/>
        <v>7</v>
      </c>
    </row>
    <row r="54" spans="1:10">
      <c r="A54" s="570">
        <f t="shared" si="2"/>
        <v>8</v>
      </c>
      <c r="B54" s="30" t="s">
        <v>54</v>
      </c>
      <c r="C54" s="30"/>
      <c r="D54" s="30"/>
      <c r="E54" s="710"/>
      <c r="F54" s="711"/>
      <c r="G54" s="29"/>
      <c r="H54" s="570">
        <f t="shared" si="3"/>
        <v>8</v>
      </c>
    </row>
    <row r="55" spans="1:10">
      <c r="A55" s="570">
        <f t="shared" si="2"/>
        <v>9</v>
      </c>
      <c r="B55" s="32" t="s">
        <v>55</v>
      </c>
      <c r="C55" s="32"/>
      <c r="D55" s="32"/>
      <c r="E55" s="939">
        <f>'Stmt AH'!E49</f>
        <v>52475.072202830677</v>
      </c>
      <c r="F55" s="27"/>
      <c r="G55" s="26" t="str">
        <f>"Statement AH; Line "&amp;'Stmt AH'!A49</f>
        <v>Statement AH; Line 39</v>
      </c>
      <c r="H55" s="570">
        <f t="shared" si="3"/>
        <v>9</v>
      </c>
    </row>
    <row r="56" spans="1:10">
      <c r="A56" s="570">
        <f t="shared" si="2"/>
        <v>10</v>
      </c>
      <c r="B56" s="28"/>
      <c r="C56" s="28"/>
      <c r="D56" s="28"/>
      <c r="E56" s="710"/>
      <c r="F56" s="711"/>
      <c r="G56" s="26"/>
      <c r="H56" s="570">
        <f t="shared" si="3"/>
        <v>10</v>
      </c>
    </row>
    <row r="57" spans="1:10">
      <c r="A57" s="570">
        <f t="shared" si="2"/>
        <v>11</v>
      </c>
      <c r="B57" s="591" t="s">
        <v>56</v>
      </c>
      <c r="C57" s="29"/>
      <c r="D57" s="29"/>
      <c r="E57" s="616">
        <f>E55/E47</f>
        <v>8.1952035622065451E-3</v>
      </c>
      <c r="F57" s="58"/>
      <c r="G57" s="26" t="str">
        <f>"Line "&amp;A55&amp;" / Line "&amp;A47</f>
        <v>Line 9 / Line 1</v>
      </c>
      <c r="H57" s="570">
        <f t="shared" si="3"/>
        <v>11</v>
      </c>
    </row>
    <row r="58" spans="1:10">
      <c r="A58" s="570">
        <f t="shared" si="2"/>
        <v>12</v>
      </c>
      <c r="B58" s="29"/>
      <c r="C58" s="29"/>
      <c r="D58" s="29"/>
      <c r="E58" s="617"/>
      <c r="F58" s="38"/>
      <c r="G58" s="26"/>
      <c r="H58" s="570">
        <f t="shared" si="3"/>
        <v>12</v>
      </c>
    </row>
    <row r="59" spans="1:10">
      <c r="A59" s="570">
        <f t="shared" si="2"/>
        <v>13</v>
      </c>
      <c r="B59" s="30" t="s">
        <v>57</v>
      </c>
      <c r="C59" s="29"/>
      <c r="D59" s="29"/>
      <c r="E59" s="617"/>
      <c r="F59" s="38"/>
      <c r="G59" s="26"/>
      <c r="H59" s="570">
        <f t="shared" si="3"/>
        <v>13</v>
      </c>
    </row>
    <row r="60" spans="1:10">
      <c r="A60" s="570">
        <f t="shared" si="2"/>
        <v>14</v>
      </c>
      <c r="B60" s="591" t="s">
        <v>39</v>
      </c>
      <c r="C60" s="29"/>
      <c r="D60" s="29"/>
      <c r="E60" s="939">
        <f>'Stmt AK'!E27</f>
        <v>75298.337095432842</v>
      </c>
      <c r="F60" s="38"/>
      <c r="G60" s="26" t="str">
        <f>"Statement AK; Line "&amp;'Stmt AK'!A27</f>
        <v>Statement AK; Line 17</v>
      </c>
      <c r="H60" s="570">
        <f t="shared" si="3"/>
        <v>14</v>
      </c>
    </row>
    <row r="61" spans="1:10">
      <c r="A61" s="570">
        <f t="shared" si="2"/>
        <v>15</v>
      </c>
      <c r="B61" s="29"/>
      <c r="C61" s="29"/>
      <c r="D61" s="29"/>
      <c r="E61" s="710"/>
      <c r="F61" s="38"/>
      <c r="G61" s="26"/>
      <c r="H61" s="570">
        <f t="shared" si="3"/>
        <v>15</v>
      </c>
    </row>
    <row r="62" spans="1:10">
      <c r="A62" s="570">
        <f t="shared" si="2"/>
        <v>16</v>
      </c>
      <c r="B62" s="591" t="s">
        <v>58</v>
      </c>
      <c r="C62" s="29"/>
      <c r="D62" s="29"/>
      <c r="E62" s="616">
        <f>E60/E47</f>
        <v>1.1759587447684022E-2</v>
      </c>
      <c r="F62" s="38"/>
      <c r="G62" s="26" t="str">
        <f>"Line "&amp;A60&amp;" / Line "&amp;A47</f>
        <v>Line 14 / Line 1</v>
      </c>
      <c r="H62" s="570">
        <f t="shared" si="3"/>
        <v>16</v>
      </c>
    </row>
    <row r="63" spans="1:10">
      <c r="A63" s="570">
        <f t="shared" si="2"/>
        <v>17</v>
      </c>
      <c r="B63" s="29"/>
      <c r="C63" s="29"/>
      <c r="D63" s="29"/>
      <c r="E63" s="617"/>
      <c r="F63" s="38"/>
      <c r="G63" s="26"/>
      <c r="H63" s="570">
        <f t="shared" si="3"/>
        <v>17</v>
      </c>
    </row>
    <row r="64" spans="1:10">
      <c r="A64" s="570">
        <f t="shared" si="2"/>
        <v>18</v>
      </c>
      <c r="B64" s="30" t="s">
        <v>59</v>
      </c>
      <c r="C64" s="30"/>
      <c r="D64" s="30"/>
      <c r="E64" s="617"/>
      <c r="F64" s="38"/>
      <c r="G64" s="26"/>
      <c r="H64" s="570">
        <f t="shared" si="3"/>
        <v>18</v>
      </c>
    </row>
    <row r="65" spans="1:8">
      <c r="A65" s="570">
        <f t="shared" si="2"/>
        <v>19</v>
      </c>
      <c r="B65" s="32" t="s">
        <v>40</v>
      </c>
      <c r="C65" s="32"/>
      <c r="D65" s="32"/>
      <c r="E65" s="939">
        <f>'Stmt AK'!E38</f>
        <v>2081.0268168801126</v>
      </c>
      <c r="F65" s="27"/>
      <c r="G65" s="26" t="str">
        <f>"Statement AK; Line "&amp;'Stmt AK'!A38</f>
        <v>Statement AK; Line 28</v>
      </c>
      <c r="H65" s="570">
        <f t="shared" si="3"/>
        <v>19</v>
      </c>
    </row>
    <row r="66" spans="1:8">
      <c r="A66" s="570">
        <f t="shared" si="2"/>
        <v>20</v>
      </c>
      <c r="B66" s="29"/>
      <c r="C66" s="29"/>
      <c r="D66" s="29"/>
      <c r="E66" s="617"/>
      <c r="F66" s="38"/>
      <c r="G66" s="26"/>
      <c r="H66" s="570">
        <f t="shared" si="3"/>
        <v>20</v>
      </c>
    </row>
    <row r="67" spans="1:8">
      <c r="A67" s="570">
        <f t="shared" si="2"/>
        <v>21</v>
      </c>
      <c r="B67" s="591" t="s">
        <v>60</v>
      </c>
      <c r="C67" s="29"/>
      <c r="D67" s="29"/>
      <c r="E67" s="616">
        <f>E65/E47</f>
        <v>3.2500076068162651E-4</v>
      </c>
      <c r="F67" s="58"/>
      <c r="G67" s="26" t="str">
        <f>"Line "&amp;A65&amp;" / Line "&amp;A47</f>
        <v>Line 19 / Line 1</v>
      </c>
      <c r="H67" s="570">
        <f t="shared" si="3"/>
        <v>21</v>
      </c>
    </row>
    <row r="68" spans="1:8">
      <c r="A68" s="570">
        <f t="shared" si="2"/>
        <v>22</v>
      </c>
      <c r="B68" s="29"/>
      <c r="C68" s="29"/>
      <c r="D68" s="29"/>
      <c r="E68" s="617"/>
      <c r="F68" s="38"/>
      <c r="G68" s="26"/>
      <c r="H68" s="570">
        <f t="shared" si="3"/>
        <v>22</v>
      </c>
    </row>
    <row r="69" spans="1:8">
      <c r="A69" s="570">
        <f t="shared" si="2"/>
        <v>23</v>
      </c>
      <c r="B69" s="30" t="s">
        <v>61</v>
      </c>
      <c r="C69" s="30"/>
      <c r="D69" s="30"/>
      <c r="E69" s="618"/>
      <c r="F69" s="39"/>
      <c r="G69" s="26"/>
      <c r="H69" s="570">
        <f t="shared" si="3"/>
        <v>23</v>
      </c>
    </row>
    <row r="70" spans="1:8">
      <c r="A70" s="570">
        <f t="shared" si="2"/>
        <v>24</v>
      </c>
      <c r="B70" s="592" t="s">
        <v>62</v>
      </c>
      <c r="C70" s="28"/>
      <c r="D70" s="28"/>
      <c r="E70" s="618"/>
      <c r="F70" s="39"/>
      <c r="G70" s="26"/>
      <c r="H70" s="570">
        <f t="shared" si="3"/>
        <v>24</v>
      </c>
    </row>
    <row r="71" spans="1:8">
      <c r="A71" s="570">
        <f t="shared" si="2"/>
        <v>25</v>
      </c>
      <c r="B71" s="32" t="s">
        <v>63</v>
      </c>
      <c r="C71" s="32"/>
      <c r="D71" s="32"/>
      <c r="E71" s="619">
        <f>'Stmt AL'!G15</f>
        <v>56688.652868766367</v>
      </c>
      <c r="F71" s="27"/>
      <c r="G71" s="26" t="str">
        <f>"Statement AL; Line "&amp;'Stmt AL'!A15</f>
        <v>Statement AL; Line 5</v>
      </c>
      <c r="H71" s="570">
        <f t="shared" si="3"/>
        <v>25</v>
      </c>
    </row>
    <row r="72" spans="1:8">
      <c r="A72" s="570">
        <f t="shared" si="2"/>
        <v>26</v>
      </c>
      <c r="B72" s="32" t="s">
        <v>64</v>
      </c>
      <c r="C72" s="32"/>
      <c r="D72" s="32"/>
      <c r="E72" s="620">
        <f>'Stmt AL'!G19</f>
        <v>34167.229444195895</v>
      </c>
      <c r="F72" s="27"/>
      <c r="G72" s="26" t="str">
        <f>"Statement AL; Line "&amp;'Stmt AL'!A19</f>
        <v>Statement AL; Line 9</v>
      </c>
      <c r="H72" s="570">
        <f t="shared" si="3"/>
        <v>26</v>
      </c>
    </row>
    <row r="73" spans="1:8">
      <c r="A73" s="570">
        <f t="shared" si="2"/>
        <v>27</v>
      </c>
      <c r="B73" s="32" t="s">
        <v>65</v>
      </c>
      <c r="C73" s="32"/>
      <c r="D73" s="32"/>
      <c r="E73" s="620">
        <f>'Stmt AL'!E29</f>
        <v>12743.239537853829</v>
      </c>
      <c r="F73" s="27"/>
      <c r="G73" s="26" t="str">
        <f>"Statement AL; Line "&amp;'Stmt AL'!A29</f>
        <v>Statement AL; Line 19</v>
      </c>
      <c r="H73" s="570">
        <f t="shared" si="3"/>
        <v>27</v>
      </c>
    </row>
    <row r="74" spans="1:8">
      <c r="A74" s="570">
        <f t="shared" si="2"/>
        <v>28</v>
      </c>
      <c r="B74" s="32" t="s">
        <v>66</v>
      </c>
      <c r="C74" s="28"/>
      <c r="D74" s="28"/>
      <c r="E74" s="621">
        <f>SUM(E71:E73)</f>
        <v>103599.1218508161</v>
      </c>
      <c r="F74" s="37"/>
      <c r="G74" s="26" t="str">
        <f>"Sum Lines "&amp;A71&amp;" thru "&amp;A73</f>
        <v>Sum Lines 25 thru 27</v>
      </c>
      <c r="H74" s="570">
        <f t="shared" si="3"/>
        <v>28</v>
      </c>
    </row>
    <row r="75" spans="1:8">
      <c r="A75" s="570">
        <f t="shared" si="2"/>
        <v>29</v>
      </c>
      <c r="B75" s="28"/>
      <c r="C75" s="28"/>
      <c r="D75" s="28"/>
      <c r="E75" s="622"/>
      <c r="F75" s="40"/>
      <c r="G75" s="26"/>
      <c r="H75" s="570">
        <f t="shared" si="3"/>
        <v>29</v>
      </c>
    </row>
    <row r="76" spans="1:8">
      <c r="A76" s="570">
        <f t="shared" si="2"/>
        <v>30</v>
      </c>
      <c r="B76" s="32" t="s">
        <v>30</v>
      </c>
      <c r="C76" s="32"/>
      <c r="D76" s="32"/>
      <c r="E76" s="623">
        <f>'Stmt AV'!G110</f>
        <v>9.5889980198751917E-2</v>
      </c>
      <c r="F76" s="27"/>
      <c r="G76" s="26" t="str">
        <f>"Statement AV2; Line "&amp;'Stmt AV'!A110</f>
        <v>Statement AV2; Line 31</v>
      </c>
      <c r="H76" s="570">
        <f t="shared" si="3"/>
        <v>30</v>
      </c>
    </row>
    <row r="77" spans="1:8">
      <c r="A77" s="570">
        <f t="shared" si="2"/>
        <v>31</v>
      </c>
      <c r="B77" s="28"/>
      <c r="C77" s="28"/>
      <c r="D77" s="28"/>
      <c r="E77" s="622"/>
      <c r="F77" s="40"/>
      <c r="G77" s="26"/>
      <c r="H77" s="570">
        <f t="shared" si="3"/>
        <v>31</v>
      </c>
    </row>
    <row r="78" spans="1:8">
      <c r="A78" s="570">
        <f t="shared" si="2"/>
        <v>32</v>
      </c>
      <c r="B78" s="32" t="s">
        <v>67</v>
      </c>
      <c r="C78" s="28"/>
      <c r="D78" s="28"/>
      <c r="E78" s="624">
        <f>E74*E76</f>
        <v>9934.1177428828432</v>
      </c>
      <c r="F78" s="37"/>
      <c r="G78" s="26" t="str">
        <f>"Line "&amp;A74&amp;" x Line "&amp;A76</f>
        <v>Line 28 x Line 30</v>
      </c>
      <c r="H78" s="570">
        <f t="shared" si="3"/>
        <v>32</v>
      </c>
    </row>
    <row r="79" spans="1:8">
      <c r="A79" s="570">
        <f t="shared" si="2"/>
        <v>33</v>
      </c>
      <c r="B79" s="28"/>
      <c r="C79" s="28"/>
      <c r="D79" s="28"/>
      <c r="E79" s="622"/>
      <c r="F79" s="40"/>
      <c r="G79" s="26"/>
      <c r="H79" s="570">
        <f t="shared" si="3"/>
        <v>33</v>
      </c>
    </row>
    <row r="80" spans="1:8">
      <c r="A80" s="570">
        <f t="shared" si="2"/>
        <v>34</v>
      </c>
      <c r="B80" s="32" t="s">
        <v>68</v>
      </c>
      <c r="C80" s="28"/>
      <c r="D80" s="28"/>
      <c r="E80" s="616">
        <f>E78/E47</f>
        <v>1.5514436416432615E-3</v>
      </c>
      <c r="F80" s="58"/>
      <c r="G80" s="26" t="str">
        <f>"Line "&amp;A78&amp;" / Line "&amp;A47</f>
        <v>Line 32 / Line 1</v>
      </c>
      <c r="H80" s="570">
        <f t="shared" si="3"/>
        <v>34</v>
      </c>
    </row>
    <row r="81" spans="1:9">
      <c r="A81" s="570">
        <f t="shared" si="2"/>
        <v>35</v>
      </c>
      <c r="B81" s="32"/>
      <c r="C81" s="28"/>
      <c r="D81" s="28"/>
      <c r="E81" s="590"/>
      <c r="F81" s="58"/>
      <c r="G81" s="26"/>
      <c r="H81" s="570">
        <f t="shared" si="3"/>
        <v>35</v>
      </c>
    </row>
    <row r="82" spans="1:9">
      <c r="A82" s="570">
        <f t="shared" si="2"/>
        <v>36</v>
      </c>
      <c r="B82" s="30" t="s">
        <v>69</v>
      </c>
      <c r="C82" s="802"/>
      <c r="D82" s="802"/>
      <c r="E82" s="800"/>
      <c r="F82" s="800"/>
      <c r="G82" s="800"/>
      <c r="H82" s="570">
        <f t="shared" si="3"/>
        <v>36</v>
      </c>
    </row>
    <row r="83" spans="1:9">
      <c r="A83" s="570">
        <f t="shared" si="2"/>
        <v>37</v>
      </c>
      <c r="B83" s="32" t="s">
        <v>70</v>
      </c>
      <c r="C83" s="802"/>
      <c r="D83" s="802"/>
      <c r="E83" s="496">
        <f>'AV-4'!C14</f>
        <v>36744.87838191905</v>
      </c>
      <c r="F83" s="800"/>
      <c r="G83" s="26" t="str">
        <f>"AV-4; Line "&amp;'AV-4'!F14</f>
        <v>AV-4; Line 4</v>
      </c>
      <c r="H83" s="570">
        <f t="shared" si="3"/>
        <v>37</v>
      </c>
    </row>
    <row r="84" spans="1:9">
      <c r="A84" s="570">
        <f t="shared" si="2"/>
        <v>38</v>
      </c>
      <c r="B84" s="30"/>
      <c r="C84" s="802"/>
      <c r="D84" s="802"/>
      <c r="E84" s="800"/>
      <c r="F84" s="800"/>
      <c r="G84" s="800"/>
      <c r="H84" s="570">
        <f t="shared" si="3"/>
        <v>38</v>
      </c>
    </row>
    <row r="85" spans="1:9">
      <c r="A85" s="570">
        <f t="shared" si="2"/>
        <v>39</v>
      </c>
      <c r="B85" s="32" t="s">
        <v>71</v>
      </c>
      <c r="C85" s="802"/>
      <c r="D85" s="802"/>
      <c r="E85" s="850">
        <f>'AV-4'!C15</f>
        <v>111798.21081647823</v>
      </c>
      <c r="F85" s="800"/>
      <c r="G85" s="26" t="str">
        <f>"AV-4; Line "&amp;'AV-4'!F15</f>
        <v>AV-4; Line 5</v>
      </c>
      <c r="H85" s="570">
        <f t="shared" si="3"/>
        <v>39</v>
      </c>
    </row>
    <row r="86" spans="1:9" ht="20.25">
      <c r="A86" s="570">
        <f t="shared" si="2"/>
        <v>40</v>
      </c>
      <c r="B86" s="802"/>
      <c r="C86" s="809"/>
      <c r="D86" s="809"/>
      <c r="E86" s="813"/>
      <c r="F86" s="814"/>
      <c r="G86" s="802"/>
      <c r="H86" s="570">
        <f t="shared" si="3"/>
        <v>40</v>
      </c>
    </row>
    <row r="87" spans="1:9">
      <c r="A87" s="570">
        <f t="shared" si="2"/>
        <v>41</v>
      </c>
      <c r="B87" s="32" t="s">
        <v>72</v>
      </c>
      <c r="C87" s="809"/>
      <c r="D87" s="809"/>
      <c r="E87" s="851">
        <f>E83+E85</f>
        <v>148543.08919839727</v>
      </c>
      <c r="F87" s="812"/>
      <c r="G87" s="26" t="str">
        <f>"Line "&amp;A83&amp;" + Line "&amp;A85</f>
        <v>Line 37 + Line 39</v>
      </c>
      <c r="H87" s="570">
        <f t="shared" si="3"/>
        <v>41</v>
      </c>
    </row>
    <row r="88" spans="1:9">
      <c r="A88" s="570">
        <f t="shared" si="2"/>
        <v>42</v>
      </c>
      <c r="B88" s="801"/>
      <c r="C88" s="809"/>
      <c r="D88" s="809"/>
      <c r="E88" s="815"/>
      <c r="F88" s="812"/>
      <c r="G88" s="799"/>
      <c r="H88" s="570">
        <f t="shared" si="3"/>
        <v>42</v>
      </c>
    </row>
    <row r="89" spans="1:9">
      <c r="A89" s="570">
        <f t="shared" si="2"/>
        <v>43</v>
      </c>
      <c r="B89" s="32" t="s">
        <v>30</v>
      </c>
      <c r="C89" s="809"/>
      <c r="D89" s="809"/>
      <c r="E89" s="940">
        <f>E76</f>
        <v>9.5889980198751917E-2</v>
      </c>
      <c r="F89" s="812"/>
      <c r="G89" s="26" t="str">
        <f>"Line "&amp;A76</f>
        <v>Line 30</v>
      </c>
      <c r="H89" s="570">
        <f t="shared" si="3"/>
        <v>43</v>
      </c>
    </row>
    <row r="90" spans="1:9">
      <c r="A90" s="570">
        <f t="shared" si="2"/>
        <v>44</v>
      </c>
      <c r="B90" s="802"/>
      <c r="C90" s="809"/>
      <c r="D90" s="809"/>
      <c r="E90" s="816"/>
      <c r="F90" s="817"/>
      <c r="G90" s="802"/>
      <c r="H90" s="570">
        <f t="shared" si="3"/>
        <v>44</v>
      </c>
    </row>
    <row r="91" spans="1:9">
      <c r="A91" s="570">
        <f t="shared" si="2"/>
        <v>45</v>
      </c>
      <c r="B91" s="32" t="s">
        <v>73</v>
      </c>
      <c r="C91" s="809"/>
      <c r="D91" s="809"/>
      <c r="E91" s="852">
        <f>E87*E89</f>
        <v>14243.793881895754</v>
      </c>
      <c r="F91" s="819"/>
      <c r="G91" s="26" t="str">
        <f>"Line "&amp;A87&amp;" * Line "&amp;A89</f>
        <v>Line 41 * Line 43</v>
      </c>
      <c r="H91" s="570">
        <f t="shared" si="3"/>
        <v>45</v>
      </c>
    </row>
    <row r="92" spans="1:9">
      <c r="A92" s="570">
        <f t="shared" si="2"/>
        <v>46</v>
      </c>
      <c r="B92" s="801"/>
      <c r="C92" s="809"/>
      <c r="D92" s="809"/>
      <c r="E92" s="818"/>
      <c r="F92" s="819"/>
      <c r="G92" s="799"/>
      <c r="H92" s="570">
        <f t="shared" si="3"/>
        <v>46</v>
      </c>
    </row>
    <row r="93" spans="1:9">
      <c r="A93" s="570">
        <f t="shared" si="2"/>
        <v>47</v>
      </c>
      <c r="B93" s="32" t="s">
        <v>74</v>
      </c>
      <c r="C93" s="809"/>
      <c r="D93" s="809"/>
      <c r="E93" s="941">
        <f>'Stmt AJ'!E27</f>
        <v>21685.41785759457</v>
      </c>
      <c r="F93" s="819"/>
      <c r="G93" s="26" t="str">
        <f>"Statement AJ; Line "&amp;'Stmt AJ'!A27</f>
        <v>Statement AJ; Line 17</v>
      </c>
      <c r="H93" s="570">
        <f t="shared" si="3"/>
        <v>47</v>
      </c>
      <c r="I93" s="809"/>
    </row>
    <row r="94" spans="1:9">
      <c r="A94" s="570">
        <f t="shared" si="2"/>
        <v>48</v>
      </c>
      <c r="B94" s="32"/>
      <c r="C94" s="809"/>
      <c r="D94" s="809"/>
      <c r="E94" s="672"/>
      <c r="F94" s="819"/>
      <c r="G94" s="26"/>
      <c r="H94" s="570">
        <f t="shared" si="3"/>
        <v>48</v>
      </c>
    </row>
    <row r="95" spans="1:9">
      <c r="A95" s="570">
        <f t="shared" si="2"/>
        <v>49</v>
      </c>
      <c r="B95" s="32" t="s">
        <v>75</v>
      </c>
      <c r="C95" s="809"/>
      <c r="D95" s="809"/>
      <c r="E95" s="672">
        <f>E91+E93</f>
        <v>35929.211739490325</v>
      </c>
      <c r="F95" s="819"/>
      <c r="G95" s="26" t="str">
        <f>"Line "&amp;A91&amp;" + Line "&amp;A93</f>
        <v>Line 45 + Line 47</v>
      </c>
      <c r="H95" s="570">
        <f t="shared" si="3"/>
        <v>49</v>
      </c>
    </row>
    <row r="96" spans="1:9">
      <c r="A96" s="570">
        <f t="shared" si="2"/>
        <v>50</v>
      </c>
      <c r="B96" s="802"/>
      <c r="C96" s="809"/>
      <c r="D96" s="809"/>
      <c r="E96" s="833"/>
      <c r="F96" s="802"/>
      <c r="G96" s="802"/>
      <c r="H96" s="570">
        <f t="shared" si="3"/>
        <v>50</v>
      </c>
    </row>
    <row r="97" spans="1:8" ht="16.5" thickBot="1">
      <c r="A97" s="570">
        <f t="shared" si="2"/>
        <v>51</v>
      </c>
      <c r="B97" s="32" t="s">
        <v>76</v>
      </c>
      <c r="C97" s="809"/>
      <c r="D97" s="809"/>
      <c r="E97" s="853">
        <f>E95/E47</f>
        <v>5.6111824467172597E-3</v>
      </c>
      <c r="F97" s="820"/>
      <c r="G97" s="26" t="str">
        <f>"Line "&amp;A95&amp;" / Line "&amp;A47&amp;""</f>
        <v>Line 49 / Line 1</v>
      </c>
      <c r="H97" s="570">
        <f t="shared" si="3"/>
        <v>51</v>
      </c>
    </row>
    <row r="98" spans="1:8" ht="16.5" thickTop="1">
      <c r="A98" s="572"/>
    </row>
    <row r="99" spans="1:8">
      <c r="A99" s="572"/>
    </row>
    <row r="100" spans="1:8">
      <c r="A100" s="572"/>
    </row>
    <row r="101" spans="1:8">
      <c r="A101" s="572"/>
    </row>
    <row r="102" spans="1:8">
      <c r="A102" s="572"/>
    </row>
    <row r="103" spans="1:8">
      <c r="A103" s="572"/>
    </row>
    <row r="104" spans="1:8">
      <c r="A104" s="572"/>
    </row>
    <row r="105" spans="1:8">
      <c r="A105" s="572"/>
    </row>
    <row r="106" spans="1:8">
      <c r="A106" s="572"/>
    </row>
    <row r="107" spans="1:8">
      <c r="A107" s="572"/>
    </row>
    <row r="108" spans="1:8">
      <c r="A108" s="572"/>
    </row>
    <row r="109" spans="1:8">
      <c r="A109" s="572"/>
    </row>
    <row r="110" spans="1:8">
      <c r="A110" s="572"/>
    </row>
    <row r="111" spans="1:8">
      <c r="A111" s="572"/>
    </row>
    <row r="112" spans="1:8">
      <c r="A112" s="572"/>
    </row>
    <row r="113" spans="1:1">
      <c r="A113" s="572"/>
    </row>
    <row r="114" spans="1:1">
      <c r="A114" s="572"/>
    </row>
    <row r="115" spans="1:1">
      <c r="A115" s="572"/>
    </row>
    <row r="116" spans="1:1">
      <c r="A116" s="572"/>
    </row>
    <row r="117" spans="1:1">
      <c r="A117" s="572"/>
    </row>
    <row r="118" spans="1:1">
      <c r="A118" s="572"/>
    </row>
    <row r="119" spans="1:1">
      <c r="A119" s="572"/>
    </row>
    <row r="120" spans="1:1">
      <c r="A120" s="572"/>
    </row>
    <row r="121" spans="1:1">
      <c r="A121" s="572"/>
    </row>
    <row r="122" spans="1:1">
      <c r="A122" s="572"/>
    </row>
    <row r="123" spans="1:1">
      <c r="A123" s="572"/>
    </row>
    <row r="124" spans="1:1">
      <c r="A124" s="572"/>
    </row>
    <row r="125" spans="1:1">
      <c r="A125" s="572"/>
    </row>
    <row r="126" spans="1:1">
      <c r="A126" s="572"/>
    </row>
    <row r="127" spans="1:1">
      <c r="A127" s="572"/>
    </row>
    <row r="128" spans="1:1">
      <c r="A128" s="572"/>
    </row>
    <row r="129" spans="1:1">
      <c r="A129" s="572"/>
    </row>
    <row r="130" spans="1:1">
      <c r="A130" s="572"/>
    </row>
    <row r="131" spans="1:1">
      <c r="A131" s="572"/>
    </row>
    <row r="132" spans="1:1">
      <c r="A132" s="572"/>
    </row>
    <row r="133" spans="1:1">
      <c r="A133" s="572"/>
    </row>
    <row r="134" spans="1:1">
      <c r="A134" s="572"/>
    </row>
    <row r="135" spans="1:1">
      <c r="A135" s="572"/>
    </row>
    <row r="136" spans="1:1">
      <c r="A136" s="572"/>
    </row>
    <row r="137" spans="1:1">
      <c r="A137" s="572"/>
    </row>
    <row r="138" spans="1:1">
      <c r="A138" s="572"/>
    </row>
    <row r="139" spans="1:1">
      <c r="A139" s="572"/>
    </row>
    <row r="140" spans="1:1">
      <c r="A140" s="572"/>
    </row>
    <row r="141" spans="1:1">
      <c r="A141" s="572"/>
    </row>
    <row r="142" spans="1:1">
      <c r="A142" s="572"/>
    </row>
    <row r="143" spans="1:1">
      <c r="A143" s="572"/>
    </row>
    <row r="144" spans="1:1">
      <c r="A144" s="572"/>
    </row>
    <row r="145" spans="1:6">
      <c r="A145" s="572"/>
    </row>
    <row r="146" spans="1:6">
      <c r="A146" s="572"/>
    </row>
    <row r="147" spans="1:6">
      <c r="A147" s="572"/>
    </row>
    <row r="148" spans="1:6">
      <c r="A148" s="572"/>
    </row>
    <row r="149" spans="1:6">
      <c r="A149" s="572"/>
    </row>
    <row r="150" spans="1:6">
      <c r="A150" s="572"/>
    </row>
    <row r="151" spans="1:6">
      <c r="A151" s="572"/>
    </row>
    <row r="152" spans="1:6">
      <c r="A152" s="572"/>
      <c r="B152" s="59"/>
      <c r="C152" s="59"/>
      <c r="D152" s="59"/>
      <c r="E152" s="59"/>
      <c r="F152" s="59"/>
    </row>
    <row r="153" spans="1:6">
      <c r="A153" s="572"/>
      <c r="B153" s="59"/>
      <c r="C153" s="59"/>
      <c r="D153" s="59"/>
      <c r="E153" s="59"/>
      <c r="F153" s="59"/>
    </row>
    <row r="158" spans="1:6">
      <c r="A158" s="569"/>
      <c r="B158" s="59"/>
      <c r="C158" s="59"/>
      <c r="D158" s="59"/>
      <c r="E158" s="41"/>
      <c r="F158" s="41"/>
    </row>
  </sheetData>
  <mergeCells count="10">
    <mergeCell ref="B2:G2"/>
    <mergeCell ref="B40:G40"/>
    <mergeCell ref="B41:G41"/>
    <mergeCell ref="B42:G42"/>
    <mergeCell ref="B3:G3"/>
    <mergeCell ref="B4:G4"/>
    <mergeCell ref="B5:G5"/>
    <mergeCell ref="B6:G6"/>
    <mergeCell ref="B39:G39"/>
    <mergeCell ref="B38:G38"/>
  </mergeCells>
  <printOptions horizontalCentered="1"/>
  <pageMargins left="0.5" right="0.5" top="0.5" bottom="0.5" header="0.25" footer="0.25"/>
  <pageSetup scale="54" fitToHeight="0" orientation="portrait" r:id="rId1"/>
  <headerFooter scaleWithDoc="0">
    <oddFooter>&amp;C&amp;"Times New Roman,Regular"&amp;10Section 2
Non-Direct Expenses
Page &amp;P of 2</oddFooter>
  </headerFooter>
  <rowBreaks count="1" manualBreakCount="1">
    <brk id="36" max="7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6"/>
  <sheetViews>
    <sheetView zoomScale="80" zoomScaleNormal="80" zoomScaleSheetLayoutView="80" zoomScalePageLayoutView="50" workbookViewId="0">
      <selection activeCell="M42" sqref="M42"/>
    </sheetView>
  </sheetViews>
  <sheetFormatPr defaultColWidth="8.5703125" defaultRowHeight="15.75"/>
  <cols>
    <col min="1" max="1" width="5.140625" style="247" customWidth="1"/>
    <col min="2" max="2" width="78.140625" style="3" bestFit="1" customWidth="1"/>
    <col min="3" max="3" width="16.5703125" style="3" customWidth="1"/>
    <col min="4" max="4" width="1.5703125" style="3" customWidth="1"/>
    <col min="5" max="5" width="16.5703125" style="3" customWidth="1"/>
    <col min="6" max="6" width="1.5703125" style="3" customWidth="1"/>
    <col min="7" max="7" width="16.5703125" style="3" customWidth="1"/>
    <col min="8" max="8" width="1.5703125" style="3" customWidth="1"/>
    <col min="9" max="9" width="46.140625" style="3" customWidth="1"/>
    <col min="10" max="10" width="5.140625" style="247" customWidth="1"/>
    <col min="11" max="16384" width="8.5703125" style="3"/>
  </cols>
  <sheetData>
    <row r="1" spans="1:10">
      <c r="A1" s="562"/>
      <c r="B1" s="59"/>
      <c r="C1" s="59"/>
      <c r="D1" s="59"/>
      <c r="E1" s="59"/>
      <c r="F1" s="59"/>
      <c r="G1" s="59"/>
      <c r="H1" s="59"/>
      <c r="I1" s="48"/>
      <c r="J1" s="562"/>
    </row>
    <row r="2" spans="1:10">
      <c r="A2" s="562"/>
      <c r="B2" s="1271" t="str">
        <f>'Summary of Cost Components'!B2:D2</f>
        <v>SAN DIEGO GAS &amp; ELECTRIC COMPANY</v>
      </c>
      <c r="C2" s="1271"/>
      <c r="D2" s="1271"/>
      <c r="E2" s="1271"/>
      <c r="F2" s="1271"/>
      <c r="G2" s="1271"/>
      <c r="H2" s="1271"/>
      <c r="I2" s="1271"/>
      <c r="J2" s="562"/>
    </row>
    <row r="3" spans="1:10">
      <c r="B3" s="1271" t="str">
        <f>'Summary of Cost Components'!B3:D3</f>
        <v>CITIZENS' SHARE OF THE SX-PQ UNDERGROUND LINE SEGMENT</v>
      </c>
      <c r="C3" s="1271"/>
      <c r="D3" s="1271"/>
      <c r="E3" s="1271"/>
      <c r="F3" s="1271"/>
      <c r="G3" s="1271"/>
      <c r="H3" s="1271"/>
      <c r="I3" s="1271"/>
      <c r="J3" s="565"/>
    </row>
    <row r="4" spans="1:10">
      <c r="B4" s="1271" t="s">
        <v>11</v>
      </c>
      <c r="C4" s="1271"/>
      <c r="D4" s="1271"/>
      <c r="E4" s="1271"/>
      <c r="F4" s="1271"/>
      <c r="G4" s="1271"/>
      <c r="H4" s="1271"/>
      <c r="I4" s="1271"/>
      <c r="J4" s="565"/>
    </row>
    <row r="5" spans="1:10">
      <c r="B5" s="1278" t="str">
        <f>'A. Sec.1 - Direct Maintenance'!B5</f>
        <v>Base Period &amp; True-Up Period 12 - Months Ending December 31, 2024</v>
      </c>
      <c r="C5" s="1278"/>
      <c r="D5" s="1278"/>
      <c r="E5" s="1278"/>
      <c r="F5" s="1278"/>
      <c r="G5" s="1278"/>
      <c r="H5" s="1278"/>
      <c r="I5" s="1278"/>
      <c r="J5" s="565"/>
    </row>
    <row r="6" spans="1:10">
      <c r="B6" s="1273" t="s">
        <v>3</v>
      </c>
      <c r="C6" s="1273"/>
      <c r="D6" s="1273"/>
      <c r="E6" s="1273"/>
      <c r="F6" s="1273"/>
      <c r="G6" s="1273"/>
      <c r="H6" s="1273"/>
      <c r="I6" s="1273"/>
      <c r="J6" s="567"/>
    </row>
    <row r="7" spans="1:10">
      <c r="B7" s="1084"/>
      <c r="C7" s="1084"/>
      <c r="D7" s="1084"/>
      <c r="E7" s="1084"/>
      <c r="F7" s="1084"/>
      <c r="G7" s="1084"/>
      <c r="H7" s="1084"/>
      <c r="I7" s="1084"/>
      <c r="J7" s="567"/>
    </row>
    <row r="8" spans="1:10">
      <c r="A8" s="562"/>
      <c r="B8" s="59"/>
      <c r="C8" s="341" t="s">
        <v>77</v>
      </c>
      <c r="D8" s="59"/>
      <c r="E8" s="341" t="s">
        <v>78</v>
      </c>
      <c r="F8" s="48"/>
      <c r="G8" s="341" t="s">
        <v>79</v>
      </c>
      <c r="H8" s="59"/>
      <c r="I8" s="59"/>
      <c r="J8" s="562"/>
    </row>
    <row r="9" spans="1:10">
      <c r="A9" s="562" t="s">
        <v>4</v>
      </c>
      <c r="B9" s="59"/>
      <c r="C9" s="21" t="s">
        <v>80</v>
      </c>
      <c r="D9" s="59"/>
      <c r="E9" s="21" t="s">
        <v>81</v>
      </c>
      <c r="F9" s="59"/>
      <c r="G9" s="59"/>
      <c r="H9" s="59"/>
      <c r="I9" s="59"/>
      <c r="J9" s="562" t="s">
        <v>4</v>
      </c>
    </row>
    <row r="10" spans="1:10">
      <c r="A10" s="562" t="s">
        <v>5</v>
      </c>
      <c r="B10" s="59"/>
      <c r="C10" s="942" t="s">
        <v>82</v>
      </c>
      <c r="D10" s="59"/>
      <c r="E10" s="942" t="s">
        <v>83</v>
      </c>
      <c r="F10" s="59"/>
      <c r="G10" s="942" t="s">
        <v>7</v>
      </c>
      <c r="H10" s="59"/>
      <c r="I10" s="942" t="s">
        <v>8</v>
      </c>
      <c r="J10" s="562" t="s">
        <v>5</v>
      </c>
    </row>
    <row r="11" spans="1:10">
      <c r="A11" s="562"/>
      <c r="B11" s="59"/>
      <c r="C11" s="59"/>
      <c r="D11" s="59"/>
      <c r="E11" s="59"/>
      <c r="F11" s="59"/>
      <c r="G11" s="48"/>
      <c r="H11" s="59"/>
      <c r="I11" s="48"/>
      <c r="J11" s="562"/>
    </row>
    <row r="12" spans="1:10">
      <c r="A12" s="562">
        <v>1</v>
      </c>
      <c r="B12" s="15" t="s">
        <v>84</v>
      </c>
      <c r="C12" s="59"/>
      <c r="D12" s="59"/>
      <c r="E12" s="59"/>
      <c r="F12" s="59"/>
      <c r="G12" s="59"/>
      <c r="H12" s="59"/>
      <c r="I12" s="48"/>
      <c r="J12" s="562">
        <f>A12</f>
        <v>1</v>
      </c>
    </row>
    <row r="13" spans="1:10">
      <c r="A13" s="562">
        <f>A12+1</f>
        <v>2</v>
      </c>
      <c r="B13" s="59"/>
      <c r="C13" s="59"/>
      <c r="D13" s="59"/>
      <c r="E13" s="59"/>
      <c r="F13" s="59"/>
      <c r="G13" s="59"/>
      <c r="H13" s="59"/>
      <c r="I13" s="59"/>
      <c r="J13" s="562">
        <f>J12+1</f>
        <v>2</v>
      </c>
    </row>
    <row r="14" spans="1:10">
      <c r="A14" s="562">
        <f t="shared" ref="A14:A42" si="0">A13+1</f>
        <v>3</v>
      </c>
      <c r="B14" s="383" t="s">
        <v>85</v>
      </c>
      <c r="C14" s="59"/>
      <c r="D14" s="59"/>
      <c r="E14" s="59"/>
      <c r="F14" s="59"/>
      <c r="G14" s="845">
        <f>'AF-3'!E15</f>
        <v>-1205.1811799999991</v>
      </c>
      <c r="H14" s="545"/>
      <c r="I14" s="26" t="s">
        <v>86</v>
      </c>
      <c r="J14" s="562">
        <f t="shared" ref="J14:J42" si="1">J13+1</f>
        <v>3</v>
      </c>
    </row>
    <row r="15" spans="1:10">
      <c r="A15" s="562">
        <f t="shared" si="0"/>
        <v>4</v>
      </c>
      <c r="B15" s="383"/>
      <c r="C15" s="59"/>
      <c r="D15" s="59"/>
      <c r="E15" s="59"/>
      <c r="F15" s="59"/>
      <c r="G15" s="811"/>
      <c r="H15" s="59"/>
      <c r="I15" s="59"/>
      <c r="J15" s="562">
        <f t="shared" si="1"/>
        <v>4</v>
      </c>
    </row>
    <row r="16" spans="1:10">
      <c r="A16" s="562">
        <f t="shared" si="0"/>
        <v>5</v>
      </c>
      <c r="B16" s="383" t="s">
        <v>30</v>
      </c>
      <c r="C16" s="59"/>
      <c r="D16" s="59"/>
      <c r="E16" s="59"/>
      <c r="F16" s="59"/>
      <c r="G16" s="943">
        <f>'Stmt AV'!G110</f>
        <v>9.5889980198751917E-2</v>
      </c>
      <c r="H16" s="59"/>
      <c r="I16" s="26" t="str">
        <f>"Statement AV2; Line "&amp;'Stmt AV'!A110</f>
        <v>Statement AV2; Line 31</v>
      </c>
      <c r="J16" s="562">
        <f t="shared" si="1"/>
        <v>5</v>
      </c>
    </row>
    <row r="17" spans="1:12">
      <c r="A17" s="562">
        <f t="shared" si="0"/>
        <v>6</v>
      </c>
      <c r="B17" s="383"/>
      <c r="C17" s="59"/>
      <c r="D17" s="59"/>
      <c r="E17" s="59"/>
      <c r="F17" s="59"/>
      <c r="G17" s="625"/>
      <c r="H17" s="59"/>
      <c r="I17" s="21"/>
      <c r="J17" s="562">
        <f t="shared" si="1"/>
        <v>6</v>
      </c>
    </row>
    <row r="18" spans="1:12">
      <c r="A18" s="562">
        <f t="shared" si="0"/>
        <v>7</v>
      </c>
      <c r="B18" s="383" t="s">
        <v>87</v>
      </c>
      <c r="C18" s="59"/>
      <c r="D18" s="59"/>
      <c r="E18" s="59"/>
      <c r="F18" s="59"/>
      <c r="G18" s="824">
        <f>G14*G16</f>
        <v>-115.56479948610838</v>
      </c>
      <c r="H18" s="45"/>
      <c r="I18" s="21" t="str">
        <f>"Line "&amp;A14&amp;" x Line "&amp;A16</f>
        <v>Line 3 x Line 5</v>
      </c>
      <c r="J18" s="562">
        <f t="shared" si="1"/>
        <v>7</v>
      </c>
    </row>
    <row r="19" spans="1:12">
      <c r="A19" s="562">
        <f t="shared" si="0"/>
        <v>8</v>
      </c>
      <c r="B19" s="383"/>
      <c r="C19" s="59"/>
      <c r="D19" s="59"/>
      <c r="E19" s="59"/>
      <c r="F19" s="59"/>
      <c r="G19" s="825"/>
      <c r="H19" s="47"/>
      <c r="I19" s="59"/>
      <c r="J19" s="562">
        <f t="shared" si="1"/>
        <v>8</v>
      </c>
    </row>
    <row r="20" spans="1:12">
      <c r="A20" s="562">
        <f t="shared" si="0"/>
        <v>9</v>
      </c>
      <c r="B20" s="834" t="s">
        <v>88</v>
      </c>
      <c r="C20" s="59"/>
      <c r="D20" s="59"/>
      <c r="E20" s="59"/>
      <c r="F20" s="59"/>
      <c r="G20" s="826"/>
      <c r="H20" s="47"/>
      <c r="I20" s="21"/>
      <c r="J20" s="562">
        <f t="shared" si="1"/>
        <v>9</v>
      </c>
    </row>
    <row r="21" spans="1:12">
      <c r="A21" s="562">
        <f t="shared" si="0"/>
        <v>10</v>
      </c>
      <c r="B21" s="822" t="s">
        <v>89</v>
      </c>
      <c r="C21" s="59"/>
      <c r="D21" s="49"/>
      <c r="E21" s="823"/>
      <c r="F21" s="59"/>
      <c r="G21" s="901">
        <f>'AV-2B'!C27</f>
        <v>21.770731132631123</v>
      </c>
      <c r="H21" s="540"/>
      <c r="I21" s="827" t="str">
        <f>"AV-2B; Line "&amp;'AV-2B'!A27</f>
        <v>AV-2B; Line 17</v>
      </c>
      <c r="J21" s="562">
        <f t="shared" si="1"/>
        <v>10</v>
      </c>
    </row>
    <row r="22" spans="1:12">
      <c r="A22" s="562">
        <f t="shared" si="0"/>
        <v>11</v>
      </c>
      <c r="B22" s="59"/>
      <c r="C22" s="48"/>
      <c r="D22" s="59"/>
      <c r="E22" s="48"/>
      <c r="F22" s="59"/>
      <c r="G22" s="48"/>
      <c r="H22" s="48"/>
      <c r="I22" s="59"/>
      <c r="J22" s="562">
        <f t="shared" si="1"/>
        <v>11</v>
      </c>
    </row>
    <row r="23" spans="1:12">
      <c r="A23" s="562">
        <f t="shared" si="0"/>
        <v>12</v>
      </c>
      <c r="B23" s="15" t="s">
        <v>90</v>
      </c>
      <c r="C23" s="48"/>
      <c r="D23" s="59"/>
      <c r="E23" s="48"/>
      <c r="F23" s="59"/>
      <c r="G23" s="48"/>
      <c r="H23" s="48"/>
      <c r="I23" s="59"/>
      <c r="J23" s="562">
        <f t="shared" si="1"/>
        <v>12</v>
      </c>
    </row>
    <row r="24" spans="1:12">
      <c r="A24" s="562">
        <f t="shared" si="0"/>
        <v>13</v>
      </c>
      <c r="B24" s="50" t="s">
        <v>91</v>
      </c>
      <c r="C24" s="59"/>
      <c r="D24" s="59"/>
      <c r="E24" s="59"/>
      <c r="F24" s="59"/>
      <c r="G24" s="59"/>
      <c r="H24" s="59"/>
      <c r="I24" s="59"/>
      <c r="J24" s="562">
        <f t="shared" si="1"/>
        <v>13</v>
      </c>
    </row>
    <row r="25" spans="1:12">
      <c r="A25" s="562">
        <f t="shared" si="0"/>
        <v>14</v>
      </c>
      <c r="B25" s="59" t="s">
        <v>92</v>
      </c>
      <c r="C25" s="845">
        <v>11661.3</v>
      </c>
      <c r="D25" s="569"/>
      <c r="E25" s="700">
        <v>4.8999999999999998E-3</v>
      </c>
      <c r="F25" s="59"/>
      <c r="G25" s="626">
        <f>C25*E25</f>
        <v>57.140369999999997</v>
      </c>
      <c r="H25" s="46"/>
      <c r="I25" s="21" t="s">
        <v>1016</v>
      </c>
      <c r="J25" s="562">
        <f t="shared" si="1"/>
        <v>14</v>
      </c>
      <c r="L25"/>
    </row>
    <row r="26" spans="1:12">
      <c r="A26" s="562">
        <f t="shared" si="0"/>
        <v>15</v>
      </c>
      <c r="B26" s="59"/>
      <c r="C26" s="626"/>
      <c r="D26" s="569"/>
      <c r="E26" s="627"/>
      <c r="F26" s="59"/>
      <c r="G26" s="626"/>
      <c r="H26" s="46"/>
      <c r="I26" s="21"/>
      <c r="J26" s="562">
        <f t="shared" si="1"/>
        <v>15</v>
      </c>
      <c r="L26"/>
    </row>
    <row r="27" spans="1:12">
      <c r="A27" s="562">
        <f t="shared" si="0"/>
        <v>16</v>
      </c>
      <c r="B27" s="59" t="s">
        <v>93</v>
      </c>
      <c r="C27" s="854">
        <v>15149.7</v>
      </c>
      <c r="D27" s="569"/>
      <c r="E27" s="700">
        <v>1.9E-3</v>
      </c>
      <c r="F27" s="59"/>
      <c r="G27" s="491">
        <f>C27*E27</f>
        <v>28.78443</v>
      </c>
      <c r="H27" s="523"/>
      <c r="I27" s="21" t="s">
        <v>1016</v>
      </c>
      <c r="J27" s="562">
        <f t="shared" si="1"/>
        <v>16</v>
      </c>
      <c r="L27"/>
    </row>
    <row r="28" spans="1:12">
      <c r="A28" s="562">
        <f t="shared" si="0"/>
        <v>17</v>
      </c>
      <c r="B28" s="59"/>
      <c r="C28" s="491"/>
      <c r="D28" s="569"/>
      <c r="E28" s="627"/>
      <c r="F28" s="59"/>
      <c r="G28" s="491"/>
      <c r="H28" s="523"/>
      <c r="I28" s="59"/>
      <c r="J28" s="562">
        <f t="shared" si="1"/>
        <v>17</v>
      </c>
      <c r="L28"/>
    </row>
    <row r="29" spans="1:12">
      <c r="A29" s="562">
        <f t="shared" si="0"/>
        <v>18</v>
      </c>
      <c r="B29" s="59" t="s">
        <v>94</v>
      </c>
      <c r="C29" s="854">
        <v>186.3</v>
      </c>
      <c r="D29" s="569"/>
      <c r="E29" s="661">
        <v>0</v>
      </c>
      <c r="F29" s="59"/>
      <c r="G29" s="491">
        <f>C29*E29</f>
        <v>0</v>
      </c>
      <c r="H29" s="523"/>
      <c r="I29" s="21" t="s">
        <v>1016</v>
      </c>
      <c r="J29" s="562">
        <f t="shared" si="1"/>
        <v>18</v>
      </c>
      <c r="L29"/>
    </row>
    <row r="30" spans="1:12">
      <c r="A30" s="562">
        <f t="shared" si="0"/>
        <v>19</v>
      </c>
      <c r="B30" s="59"/>
      <c r="C30" s="491"/>
      <c r="D30" s="569"/>
      <c r="E30" s="628"/>
      <c r="F30" s="59"/>
      <c r="G30" s="491"/>
      <c r="H30" s="523"/>
      <c r="I30" s="21"/>
      <c r="J30" s="562">
        <f t="shared" si="1"/>
        <v>19</v>
      </c>
      <c r="L30"/>
    </row>
    <row r="31" spans="1:12">
      <c r="A31" s="562">
        <f t="shared" si="0"/>
        <v>20</v>
      </c>
      <c r="B31" s="59" t="s">
        <v>95</v>
      </c>
      <c r="C31" s="854">
        <v>0</v>
      </c>
      <c r="D31" s="569"/>
      <c r="E31" s="661">
        <v>0</v>
      </c>
      <c r="F31" s="59"/>
      <c r="G31" s="491">
        <f>C31*E31</f>
        <v>0</v>
      </c>
      <c r="H31" s="523"/>
      <c r="I31" s="21" t="s">
        <v>1016</v>
      </c>
      <c r="J31" s="562">
        <f t="shared" si="1"/>
        <v>20</v>
      </c>
      <c r="L31"/>
    </row>
    <row r="32" spans="1:12">
      <c r="A32" s="562">
        <f t="shared" si="0"/>
        <v>21</v>
      </c>
      <c r="B32" s="59"/>
      <c r="C32" s="629"/>
      <c r="D32" s="569"/>
      <c r="E32" s="628"/>
      <c r="F32" s="59"/>
      <c r="G32" s="491"/>
      <c r="H32" s="523"/>
      <c r="I32" s="21"/>
      <c r="J32" s="562">
        <f t="shared" si="1"/>
        <v>21</v>
      </c>
      <c r="L32"/>
    </row>
    <row r="33" spans="1:16">
      <c r="A33" s="562">
        <f t="shared" si="0"/>
        <v>22</v>
      </c>
      <c r="B33" s="59" t="s">
        <v>96</v>
      </c>
      <c r="C33" s="944">
        <v>2.7</v>
      </c>
      <c r="D33" s="569"/>
      <c r="E33" s="662">
        <v>0</v>
      </c>
      <c r="F33" s="59"/>
      <c r="G33" s="945">
        <f>C33*E33</f>
        <v>0</v>
      </c>
      <c r="H33" s="8"/>
      <c r="I33" s="21" t="s">
        <v>1016</v>
      </c>
      <c r="J33" s="562">
        <f t="shared" si="1"/>
        <v>22</v>
      </c>
      <c r="L33"/>
    </row>
    <row r="34" spans="1:16">
      <c r="A34" s="562">
        <f t="shared" si="0"/>
        <v>23</v>
      </c>
      <c r="B34" s="59"/>
      <c r="C34" s="630">
        <f>SUM(C25:C33)</f>
        <v>27000</v>
      </c>
      <c r="D34" s="569"/>
      <c r="E34" s="569"/>
      <c r="F34" s="59"/>
      <c r="G34" s="632"/>
      <c r="H34" s="51"/>
      <c r="I34" s="21" t="str">
        <f>"Col. a = Sum Lines "&amp;A25&amp;" thru "&amp;A33</f>
        <v>Col. a = Sum Lines 14 thru 22</v>
      </c>
      <c r="J34" s="562">
        <f t="shared" si="1"/>
        <v>23</v>
      </c>
    </row>
    <row r="35" spans="1:16">
      <c r="A35" s="562">
        <f t="shared" si="0"/>
        <v>24</v>
      </c>
      <c r="B35" s="59"/>
      <c r="C35" s="630"/>
      <c r="D35" s="569"/>
      <c r="E35" s="569"/>
      <c r="F35" s="59"/>
      <c r="G35" s="569"/>
      <c r="H35" s="59"/>
      <c r="I35" s="59"/>
      <c r="J35" s="562">
        <f t="shared" si="1"/>
        <v>24</v>
      </c>
    </row>
    <row r="36" spans="1:16">
      <c r="A36" s="562">
        <f t="shared" si="0"/>
        <v>25</v>
      </c>
      <c r="B36" s="59" t="s">
        <v>97</v>
      </c>
      <c r="C36" s="569"/>
      <c r="D36" s="569"/>
      <c r="E36" s="569"/>
      <c r="F36" s="59"/>
      <c r="G36" s="630">
        <f>SUM(G25:G33)</f>
        <v>85.924800000000005</v>
      </c>
      <c r="H36" s="51"/>
      <c r="I36" s="21" t="str">
        <f>"Sum Lines "&amp;A25&amp;" thru "&amp;A33</f>
        <v>Sum Lines 14 thru 22</v>
      </c>
      <c r="J36" s="562">
        <f t="shared" si="1"/>
        <v>25</v>
      </c>
    </row>
    <row r="37" spans="1:16">
      <c r="A37" s="562">
        <f t="shared" si="0"/>
        <v>26</v>
      </c>
      <c r="B37" s="59"/>
      <c r="C37" s="569"/>
      <c r="D37" s="569"/>
      <c r="E37" s="569"/>
      <c r="F37" s="59"/>
      <c r="G37" s="632"/>
      <c r="H37" s="51"/>
      <c r="I37" s="59"/>
      <c r="J37" s="562">
        <f t="shared" si="1"/>
        <v>26</v>
      </c>
    </row>
    <row r="38" spans="1:16">
      <c r="A38" s="562">
        <f t="shared" si="0"/>
        <v>27</v>
      </c>
      <c r="B38" s="59" t="s">
        <v>33</v>
      </c>
      <c r="C38" s="569"/>
      <c r="D38" s="569"/>
      <c r="E38" s="631">
        <f>'A. Sec.1 - Direct Maintenance'!C25</f>
        <v>1.0207000000000001E-2</v>
      </c>
      <c r="F38" s="59"/>
      <c r="G38" s="946">
        <f>G36*E38</f>
        <v>0.87703443360000011</v>
      </c>
      <c r="H38" s="12"/>
      <c r="I38" s="21" t="str">
        <f>"Line "&amp;A36&amp;" x Franchise Fee Rate"</f>
        <v>Line 25 x Franchise Fee Rate</v>
      </c>
      <c r="J38" s="562">
        <f t="shared" si="1"/>
        <v>27</v>
      </c>
      <c r="L38"/>
      <c r="M38"/>
      <c r="N38"/>
      <c r="O38"/>
      <c r="P38"/>
    </row>
    <row r="39" spans="1:16">
      <c r="A39" s="562">
        <f t="shared" si="0"/>
        <v>28</v>
      </c>
      <c r="B39" s="59"/>
      <c r="C39" s="59"/>
      <c r="D39" s="59"/>
      <c r="E39" s="59"/>
      <c r="F39" s="59"/>
      <c r="G39" s="632"/>
      <c r="H39" s="51"/>
      <c r="I39" s="59"/>
      <c r="J39" s="562">
        <f t="shared" si="1"/>
        <v>28</v>
      </c>
    </row>
    <row r="40" spans="1:16">
      <c r="A40" s="562">
        <f t="shared" si="0"/>
        <v>29</v>
      </c>
      <c r="B40" s="59" t="s">
        <v>98</v>
      </c>
      <c r="C40" s="59"/>
      <c r="D40" s="59"/>
      <c r="E40" s="59"/>
      <c r="F40" s="59"/>
      <c r="G40" s="370">
        <f>G36+G38</f>
        <v>86.801834433600007</v>
      </c>
      <c r="H40" s="541"/>
      <c r="I40" s="21" t="str">
        <f>"Line "&amp;A36&amp;" + Line "&amp;A38</f>
        <v>Line 25 + Line 27</v>
      </c>
      <c r="J40" s="562">
        <f t="shared" si="1"/>
        <v>29</v>
      </c>
    </row>
    <row r="41" spans="1:16">
      <c r="A41" s="562">
        <f t="shared" si="0"/>
        <v>30</v>
      </c>
      <c r="B41" s="59"/>
      <c r="C41" s="59"/>
      <c r="D41" s="59"/>
      <c r="E41" s="59"/>
      <c r="F41" s="59"/>
      <c r="G41" s="569"/>
      <c r="H41" s="59"/>
      <c r="I41" s="59"/>
      <c r="J41" s="562">
        <f t="shared" si="1"/>
        <v>30</v>
      </c>
    </row>
    <row r="42" spans="1:16" ht="16.5" thickBot="1">
      <c r="A42" s="562">
        <f t="shared" si="0"/>
        <v>31</v>
      </c>
      <c r="B42" s="44" t="s">
        <v>99</v>
      </c>
      <c r="C42" s="59"/>
      <c r="D42" s="59"/>
      <c r="E42" s="59"/>
      <c r="F42" s="59"/>
      <c r="G42" s="832">
        <f>G18+G21+G40</f>
        <v>-6.9922339198772505</v>
      </c>
      <c r="H42" s="550"/>
      <c r="I42" s="21" t="str">
        <f>"Line "&amp;A18&amp;" + Line "&amp;A21&amp;" + Line "&amp;A40&amp;""</f>
        <v>Line 7 + Line 10 + Line 29</v>
      </c>
      <c r="J42" s="562">
        <f t="shared" si="1"/>
        <v>31</v>
      </c>
    </row>
    <row r="43" spans="1:16" ht="16.5" thickTop="1">
      <c r="A43" s="562"/>
      <c r="B43" s="59"/>
      <c r="C43" s="59"/>
      <c r="D43" s="59"/>
      <c r="E43" s="59"/>
      <c r="F43" s="59"/>
      <c r="G43" s="52"/>
      <c r="H43" s="52"/>
      <c r="I43" s="21"/>
      <c r="J43" s="562"/>
    </row>
    <row r="44" spans="1:16">
      <c r="A44" s="562"/>
      <c r="B44" s="44"/>
      <c r="C44" s="44"/>
      <c r="D44" s="44"/>
      <c r="E44" s="44"/>
      <c r="F44" s="44"/>
      <c r="G44" s="44"/>
      <c r="H44" s="44"/>
      <c r="I44" s="44"/>
      <c r="J44" s="562"/>
    </row>
    <row r="45" spans="1:16" ht="18.75">
      <c r="A45" s="920"/>
      <c r="B45" s="921"/>
      <c r="C45" s="44"/>
      <c r="D45" s="44"/>
      <c r="E45" s="44"/>
      <c r="F45" s="44"/>
      <c r="G45" s="44"/>
      <c r="H45" s="44"/>
      <c r="I45" s="44"/>
      <c r="J45" s="562"/>
    </row>
    <row r="46" spans="1:16">
      <c r="A46" s="922"/>
      <c r="B46" s="921"/>
    </row>
  </sheetData>
  <mergeCells count="5">
    <mergeCell ref="B3:I3"/>
    <mergeCell ref="B4:I4"/>
    <mergeCell ref="B5:I5"/>
    <mergeCell ref="B6:I6"/>
    <mergeCell ref="B2:I2"/>
  </mergeCells>
  <printOptions horizontalCentered="1"/>
  <pageMargins left="0.5" right="0.5" top="0.5" bottom="0.5" header="0.25" footer="0.25"/>
  <pageSetup scale="50" fitToHeight="0" orientation="portrait" r:id="rId1"/>
  <headerFooter scaleWithDoc="0">
    <oddFooter xml:space="preserve">&amp;C&amp;"Times New Roman,Regular"&amp;10Section 3
Other Costs
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80" zoomScaleNormal="80" zoomScaleSheetLayoutView="70" zoomScalePageLayoutView="60" workbookViewId="0">
      <selection activeCell="J44" sqref="J44"/>
    </sheetView>
  </sheetViews>
  <sheetFormatPr defaultColWidth="9.140625" defaultRowHeight="15.75"/>
  <cols>
    <col min="1" max="1" width="5.140625" style="247" customWidth="1"/>
    <col min="2" max="2" width="12.5703125" style="216" customWidth="1"/>
    <col min="3" max="3" width="20" style="216" customWidth="1"/>
    <col min="4" max="7" width="21.5703125" style="216" customWidth="1"/>
    <col min="8" max="8" width="22.5703125" style="216" bestFit="1" customWidth="1"/>
    <col min="9" max="13" width="21.5703125" style="216" customWidth="1"/>
    <col min="14" max="14" width="5.140625" style="247" customWidth="1"/>
    <col min="15" max="15" width="13.5703125" style="216" customWidth="1"/>
    <col min="16" max="16" width="12.5703125" style="216" customWidth="1"/>
    <col min="17" max="16384" width="9.140625" style="216"/>
  </cols>
  <sheetData>
    <row r="1" spans="1:14">
      <c r="I1" s="237"/>
    </row>
    <row r="2" spans="1:14">
      <c r="B2" s="1281" t="str">
        <f>'Summary of Cost Components'!B2:D2</f>
        <v>SAN DIEGO GAS &amp; ELECTRIC COMPANY</v>
      </c>
      <c r="C2" s="1281"/>
      <c r="D2" s="1281"/>
      <c r="E2" s="1281"/>
      <c r="F2" s="1281"/>
      <c r="G2" s="1281"/>
      <c r="H2" s="1281"/>
      <c r="I2" s="1281"/>
      <c r="J2" s="1281"/>
      <c r="K2" s="1281"/>
      <c r="L2" s="1281"/>
      <c r="M2" s="1281"/>
      <c r="N2" s="1281"/>
    </row>
    <row r="3" spans="1:14">
      <c r="B3" s="1268" t="str">
        <f>'Summary of Cost Components'!B3:D3</f>
        <v>CITIZENS' SHARE OF THE SX-PQ UNDERGROUND LINE SEGMENT</v>
      </c>
      <c r="C3" s="1268"/>
      <c r="D3" s="1268"/>
      <c r="E3" s="1268"/>
      <c r="F3" s="1268"/>
      <c r="G3" s="1268"/>
      <c r="H3" s="1268"/>
      <c r="I3" s="1268"/>
      <c r="J3" s="1268"/>
      <c r="K3" s="1268"/>
      <c r="L3" s="1268"/>
      <c r="M3" s="1268"/>
      <c r="N3" s="1268"/>
    </row>
    <row r="4" spans="1:14">
      <c r="B4" s="1268" t="s">
        <v>100</v>
      </c>
      <c r="C4" s="1268"/>
      <c r="D4" s="1268"/>
      <c r="E4" s="1268"/>
      <c r="F4" s="1268"/>
      <c r="G4" s="1268"/>
      <c r="H4" s="1268"/>
      <c r="I4" s="1268"/>
      <c r="J4" s="1268"/>
      <c r="K4" s="1268"/>
      <c r="L4" s="1268"/>
      <c r="M4" s="1268"/>
      <c r="N4" s="1268"/>
    </row>
    <row r="5" spans="1:14">
      <c r="B5" s="1280" t="str">
        <f>"True-Up Period - January 1, "&amp;Automation!$B$3&amp;" to December 31, "&amp;Automation!$B$3</f>
        <v>True-Up Period - January 1, 2024 to December 31, 2024</v>
      </c>
      <c r="C5" s="1280"/>
      <c r="D5" s="1280"/>
      <c r="E5" s="1280"/>
      <c r="F5" s="1280"/>
      <c r="G5" s="1280"/>
      <c r="H5" s="1280"/>
      <c r="I5" s="1280"/>
      <c r="J5" s="1280"/>
      <c r="K5" s="1280"/>
      <c r="L5" s="1280"/>
      <c r="M5" s="1280"/>
      <c r="N5" s="1280"/>
    </row>
    <row r="6" spans="1:14">
      <c r="B6" s="1279" t="s">
        <v>3</v>
      </c>
      <c r="C6" s="1279"/>
      <c r="D6" s="1279"/>
      <c r="E6" s="1279"/>
      <c r="F6" s="1279"/>
      <c r="G6" s="1279"/>
      <c r="H6" s="1279"/>
      <c r="I6" s="1279"/>
      <c r="J6" s="1279"/>
      <c r="K6" s="1279"/>
      <c r="L6" s="1279"/>
      <c r="M6" s="1279"/>
      <c r="N6" s="551"/>
    </row>
    <row r="7" spans="1:14">
      <c r="A7" s="551"/>
      <c r="B7" s="551"/>
      <c r="C7" s="551"/>
      <c r="D7" s="551"/>
      <c r="E7" s="551"/>
      <c r="F7" s="551"/>
      <c r="G7" s="551"/>
      <c r="H7" s="551"/>
      <c r="I7" s="551"/>
      <c r="J7" s="551"/>
      <c r="K7" s="551"/>
      <c r="L7" s="551"/>
      <c r="M7" s="551"/>
      <c r="N7" s="551"/>
    </row>
    <row r="8" spans="1:14">
      <c r="A8" s="247" t="s">
        <v>4</v>
      </c>
      <c r="B8" s="466"/>
      <c r="E8" s="420"/>
      <c r="F8" s="500"/>
      <c r="G8" s="500"/>
      <c r="N8" s="247" t="s">
        <v>4</v>
      </c>
    </row>
    <row r="9" spans="1:14">
      <c r="A9" s="247" t="s">
        <v>5</v>
      </c>
      <c r="B9" s="466"/>
      <c r="E9" s="420"/>
      <c r="F9" s="500"/>
      <c r="G9" s="500"/>
      <c r="N9" s="247" t="s">
        <v>5</v>
      </c>
    </row>
    <row r="10" spans="1:14">
      <c r="A10" s="247">
        <v>1</v>
      </c>
      <c r="E10" s="420"/>
      <c r="I10" s="712"/>
      <c r="J10" s="712"/>
      <c r="N10" s="247">
        <v>1</v>
      </c>
    </row>
    <row r="11" spans="1:14">
      <c r="A11" s="247">
        <f t="shared" ref="A11:A31" si="0">A10+1</f>
        <v>2</v>
      </c>
      <c r="C11" s="668" t="s">
        <v>101</v>
      </c>
      <c r="D11" s="668" t="s">
        <v>102</v>
      </c>
      <c r="E11" s="668" t="s">
        <v>103</v>
      </c>
      <c r="F11" s="668" t="s">
        <v>104</v>
      </c>
      <c r="G11" s="668" t="s">
        <v>105</v>
      </c>
      <c r="H11" s="668" t="s">
        <v>106</v>
      </c>
      <c r="I11" s="668" t="s">
        <v>107</v>
      </c>
      <c r="J11" s="668" t="s">
        <v>108</v>
      </c>
      <c r="K11" s="668" t="s">
        <v>109</v>
      </c>
      <c r="L11" s="668" t="s">
        <v>110</v>
      </c>
      <c r="M11" s="668" t="s">
        <v>111</v>
      </c>
      <c r="N11" s="247">
        <f t="shared" ref="N11:N31" si="1">N10+1</f>
        <v>2</v>
      </c>
    </row>
    <row r="12" spans="1:14">
      <c r="A12" s="247">
        <f t="shared" si="0"/>
        <v>3</v>
      </c>
      <c r="B12" s="420" t="s">
        <v>112</v>
      </c>
      <c r="C12" s="247"/>
      <c r="D12" s="247"/>
      <c r="E12" s="247"/>
      <c r="F12" s="247" t="str">
        <f>"= "&amp;F11&amp;"; Line "&amp;A31&amp;" / 12"</f>
        <v>= Col. 4; Line 22 / 12</v>
      </c>
      <c r="G12" s="247"/>
      <c r="H12" s="412" t="str">
        <f>"= Sum "&amp;E11&amp;" thru "&amp;G11</f>
        <v>= Sum Col. 3 thru Col. 5</v>
      </c>
      <c r="I12" s="412" t="str">
        <f>"= "&amp;D11&amp;" - "&amp;H11</f>
        <v>= Col. 2 - Col. 6</v>
      </c>
      <c r="J12" s="247"/>
      <c r="K12" s="247" t="str">
        <f>"See Footnote "&amp;A40</f>
        <v>See Footnote 6</v>
      </c>
      <c r="L12" s="247" t="str">
        <f>"See Footnote "&amp;A41</f>
        <v>See Footnote 7</v>
      </c>
      <c r="M12" s="412" t="str">
        <f>"= "&amp;K11&amp;" + "&amp;L11</f>
        <v>= Col. 9 + Col. 10</v>
      </c>
      <c r="N12" s="247">
        <f t="shared" si="1"/>
        <v>3</v>
      </c>
    </row>
    <row r="13" spans="1:14">
      <c r="A13" s="247">
        <f t="shared" si="0"/>
        <v>4</v>
      </c>
      <c r="B13" s="420"/>
      <c r="C13" s="247"/>
      <c r="D13" s="247"/>
      <c r="E13" s="247"/>
      <c r="F13" s="247"/>
      <c r="G13" s="247"/>
      <c r="H13" s="412"/>
      <c r="I13" s="412"/>
      <c r="J13" s="247"/>
      <c r="K13" s="247"/>
      <c r="L13" s="247"/>
      <c r="M13" s="412"/>
      <c r="N13" s="247">
        <f t="shared" si="1"/>
        <v>4</v>
      </c>
    </row>
    <row r="14" spans="1:14">
      <c r="A14" s="247">
        <f t="shared" si="0"/>
        <v>5</v>
      </c>
      <c r="C14" s="668"/>
      <c r="H14" s="551"/>
      <c r="K14" s="551" t="s">
        <v>113</v>
      </c>
      <c r="M14" s="551" t="s">
        <v>113</v>
      </c>
      <c r="N14" s="247">
        <f t="shared" si="1"/>
        <v>5</v>
      </c>
    </row>
    <row r="15" spans="1:14">
      <c r="A15" s="247">
        <f t="shared" si="0"/>
        <v>6</v>
      </c>
      <c r="C15" s="668"/>
      <c r="F15" s="551"/>
      <c r="G15" s="551"/>
      <c r="H15" s="551"/>
      <c r="I15" s="551" t="s">
        <v>114</v>
      </c>
      <c r="J15" s="551"/>
      <c r="K15" s="551" t="s">
        <v>115</v>
      </c>
      <c r="M15" s="551" t="s">
        <v>115</v>
      </c>
      <c r="N15" s="247">
        <f t="shared" si="1"/>
        <v>6</v>
      </c>
    </row>
    <row r="16" spans="1:14">
      <c r="A16" s="247">
        <f t="shared" si="0"/>
        <v>7</v>
      </c>
      <c r="C16" s="551"/>
      <c r="D16" s="551" t="s">
        <v>114</v>
      </c>
      <c r="E16" s="551" t="s">
        <v>114</v>
      </c>
      <c r="F16" s="551" t="s">
        <v>116</v>
      </c>
      <c r="G16" s="551"/>
      <c r="H16" s="551" t="s">
        <v>117</v>
      </c>
      <c r="I16" s="551" t="s">
        <v>115</v>
      </c>
      <c r="J16" s="551" t="s">
        <v>114</v>
      </c>
      <c r="K16" s="551" t="s">
        <v>118</v>
      </c>
      <c r="M16" s="551" t="s">
        <v>118</v>
      </c>
      <c r="N16" s="247">
        <f t="shared" si="1"/>
        <v>7</v>
      </c>
    </row>
    <row r="17" spans="1:17">
      <c r="A17" s="247">
        <f t="shared" si="0"/>
        <v>8</v>
      </c>
      <c r="C17" s="551"/>
      <c r="D17" s="551" t="s">
        <v>119</v>
      </c>
      <c r="E17" s="551" t="s">
        <v>119</v>
      </c>
      <c r="F17" s="551" t="s">
        <v>119</v>
      </c>
      <c r="G17" s="551" t="s">
        <v>120</v>
      </c>
      <c r="H17" s="551" t="s">
        <v>119</v>
      </c>
      <c r="I17" s="551" t="s">
        <v>118</v>
      </c>
      <c r="J17" s="551" t="s">
        <v>121</v>
      </c>
      <c r="K17" s="551" t="s">
        <v>122</v>
      </c>
      <c r="L17" s="551"/>
      <c r="M17" s="551" t="s">
        <v>122</v>
      </c>
      <c r="N17" s="247">
        <f t="shared" si="1"/>
        <v>8</v>
      </c>
    </row>
    <row r="18" spans="1:17" ht="18.75">
      <c r="A18" s="247">
        <f t="shared" si="0"/>
        <v>9</v>
      </c>
      <c r="B18" s="669" t="s">
        <v>123</v>
      </c>
      <c r="C18" s="669" t="s">
        <v>124</v>
      </c>
      <c r="D18" s="500" t="s">
        <v>125</v>
      </c>
      <c r="E18" s="500" t="s">
        <v>126</v>
      </c>
      <c r="F18" s="500" t="s">
        <v>127</v>
      </c>
      <c r="G18" s="500" t="s">
        <v>128</v>
      </c>
      <c r="H18" s="500" t="s">
        <v>129</v>
      </c>
      <c r="I18" s="500" t="s">
        <v>122</v>
      </c>
      <c r="J18" s="500" t="s">
        <v>130</v>
      </c>
      <c r="K18" s="500" t="s">
        <v>131</v>
      </c>
      <c r="L18" s="500" t="s">
        <v>121</v>
      </c>
      <c r="M18" s="500" t="s">
        <v>132</v>
      </c>
      <c r="N18" s="247">
        <f t="shared" si="1"/>
        <v>9</v>
      </c>
    </row>
    <row r="19" spans="1:17">
      <c r="A19" s="247">
        <f t="shared" si="0"/>
        <v>10</v>
      </c>
      <c r="B19" s="18" t="s">
        <v>133</v>
      </c>
      <c r="C19" s="671" t="str">
        <f>RIGHT(B5,4)</f>
        <v>2024</v>
      </c>
      <c r="D19" s="474">
        <f>'Summary of Cost Components'!C$40</f>
        <v>79.353976390724213</v>
      </c>
      <c r="E19" s="474">
        <f>'D2. Sec.4 - C6 Invoice Summary'!$C$48</f>
        <v>82.66081129400321</v>
      </c>
      <c r="F19" s="474">
        <f>-('D2. Sec.4 - C6 Invoice Summary'!$C$42+'D2. Sec.4 - C6 Invoice Summary'!$C$44)</f>
        <v>-7.7613635465699673</v>
      </c>
      <c r="G19" s="474">
        <f>-'D2. Sec.4 - C6 Invoice Summary'!$C$46</f>
        <v>-2.0833333333333335</v>
      </c>
      <c r="H19" s="672">
        <f>SUM(E19:G19)</f>
        <v>72.816114414099914</v>
      </c>
      <c r="I19" s="473">
        <f>D19-H19</f>
        <v>6.5378619766242991</v>
      </c>
      <c r="J19" s="713">
        <v>7.1999999999999998E-3</v>
      </c>
      <c r="K19" s="401">
        <f>I19</f>
        <v>6.5378619766242991</v>
      </c>
      <c r="L19" s="1211">
        <f>(I19/2)*J19</f>
        <v>2.3536303115847475E-2</v>
      </c>
      <c r="M19" s="714">
        <f t="shared" ref="M19:M30" si="2">K19+L19</f>
        <v>6.5613982797401462</v>
      </c>
      <c r="N19" s="247">
        <f t="shared" si="1"/>
        <v>10</v>
      </c>
      <c r="O19" s="164"/>
    </row>
    <row r="20" spans="1:17">
      <c r="A20" s="247">
        <f t="shared" si="0"/>
        <v>11</v>
      </c>
      <c r="B20" s="18" t="s">
        <v>134</v>
      </c>
      <c r="C20" s="671" t="str">
        <f>C19</f>
        <v>2024</v>
      </c>
      <c r="D20" s="715">
        <f>$D$19</f>
        <v>79.353976390724213</v>
      </c>
      <c r="E20" s="491">
        <f>$E$19</f>
        <v>82.66081129400321</v>
      </c>
      <c r="F20" s="491">
        <f>$F$19</f>
        <v>-7.7613635465699673</v>
      </c>
      <c r="G20" s="491">
        <f>$G$19</f>
        <v>-2.0833333333333335</v>
      </c>
      <c r="H20" s="674">
        <f>SUM(E20:G20)</f>
        <v>72.816114414099914</v>
      </c>
      <c r="I20" s="491">
        <f t="shared" ref="I20:I30" si="3">D20-H20</f>
        <v>6.5378619766242991</v>
      </c>
      <c r="J20" s="713">
        <v>6.7999999999999996E-3</v>
      </c>
      <c r="K20" s="716">
        <f>M19+I20</f>
        <v>13.099260256364445</v>
      </c>
      <c r="L20" s="1212">
        <f t="shared" ref="L20:L30" si="4">(M19+K20)/2*J20</f>
        <v>6.6846239022755605E-2</v>
      </c>
      <c r="M20" s="717">
        <f t="shared" si="2"/>
        <v>13.166106495387201</v>
      </c>
      <c r="N20" s="247">
        <f t="shared" si="1"/>
        <v>11</v>
      </c>
      <c r="O20" s="499"/>
    </row>
    <row r="21" spans="1:17">
      <c r="A21" s="247">
        <f t="shared" si="0"/>
        <v>12</v>
      </c>
      <c r="B21" s="18" t="s">
        <v>135</v>
      </c>
      <c r="C21" s="671" t="str">
        <f>C19</f>
        <v>2024</v>
      </c>
      <c r="D21" s="715">
        <f t="shared" ref="D21:D30" si="5">$D$19</f>
        <v>79.353976390724213</v>
      </c>
      <c r="E21" s="491">
        <f t="shared" ref="E21:E30" si="6">$E$19</f>
        <v>82.66081129400321</v>
      </c>
      <c r="F21" s="491">
        <f t="shared" ref="F21:F30" si="7">$F$19</f>
        <v>-7.7613635465699673</v>
      </c>
      <c r="G21" s="491">
        <f t="shared" ref="G21:G30" si="8">$G$19</f>
        <v>-2.0833333333333335</v>
      </c>
      <c r="H21" s="674">
        <f t="shared" ref="H21:H29" si="9">SUM(E21:G21)</f>
        <v>72.816114414099914</v>
      </c>
      <c r="I21" s="491">
        <f t="shared" si="3"/>
        <v>6.5378619766242991</v>
      </c>
      <c r="J21" s="713">
        <v>7.1999999999999998E-3</v>
      </c>
      <c r="K21" s="716">
        <f t="shared" ref="K21:K30" si="10">M20+I21</f>
        <v>19.7039684720115</v>
      </c>
      <c r="L21" s="1212">
        <f>(M20+K21)/2*J21</f>
        <v>0.11833226988263532</v>
      </c>
      <c r="M21" s="717">
        <f t="shared" si="2"/>
        <v>19.822300741894136</v>
      </c>
      <c r="N21" s="247">
        <f t="shared" si="1"/>
        <v>12</v>
      </c>
      <c r="O21" s="499"/>
    </row>
    <row r="22" spans="1:17">
      <c r="A22" s="247">
        <f t="shared" si="0"/>
        <v>13</v>
      </c>
      <c r="B22" s="18" t="s">
        <v>136</v>
      </c>
      <c r="C22" s="671" t="str">
        <f>C19</f>
        <v>2024</v>
      </c>
      <c r="D22" s="715">
        <f t="shared" si="5"/>
        <v>79.353976390724213</v>
      </c>
      <c r="E22" s="491">
        <f t="shared" si="6"/>
        <v>82.66081129400321</v>
      </c>
      <c r="F22" s="491">
        <f t="shared" si="7"/>
        <v>-7.7613635465699673</v>
      </c>
      <c r="G22" s="491">
        <f t="shared" si="8"/>
        <v>-2.0833333333333335</v>
      </c>
      <c r="H22" s="674">
        <f t="shared" si="9"/>
        <v>72.816114414099914</v>
      </c>
      <c r="I22" s="491">
        <f>D22-H22</f>
        <v>6.5378619766242991</v>
      </c>
      <c r="J22" s="713">
        <v>7.0000000000000001E-3</v>
      </c>
      <c r="K22" s="716">
        <f t="shared" si="10"/>
        <v>26.360162718518435</v>
      </c>
      <c r="L22" s="1212">
        <f>(M21+K22)/2*J22</f>
        <v>0.161638622111444</v>
      </c>
      <c r="M22" s="717">
        <f t="shared" si="2"/>
        <v>26.521801340629878</v>
      </c>
      <c r="N22" s="247">
        <f t="shared" si="1"/>
        <v>13</v>
      </c>
      <c r="O22" s="499"/>
      <c r="Q22" s="718"/>
    </row>
    <row r="23" spans="1:17">
      <c r="A23" s="247">
        <f t="shared" si="0"/>
        <v>14</v>
      </c>
      <c r="B23" s="18" t="s">
        <v>137</v>
      </c>
      <c r="C23" s="671" t="str">
        <f>C19</f>
        <v>2024</v>
      </c>
      <c r="D23" s="715">
        <f t="shared" si="5"/>
        <v>79.353976390724213</v>
      </c>
      <c r="E23" s="491">
        <f t="shared" si="6"/>
        <v>82.66081129400321</v>
      </c>
      <c r="F23" s="491">
        <f t="shared" si="7"/>
        <v>-7.7613635465699673</v>
      </c>
      <c r="G23" s="491">
        <f t="shared" si="8"/>
        <v>-2.0833333333333335</v>
      </c>
      <c r="H23" s="674">
        <f t="shared" si="9"/>
        <v>72.816114414099914</v>
      </c>
      <c r="I23" s="491">
        <f t="shared" si="3"/>
        <v>6.5378619766242991</v>
      </c>
      <c r="J23" s="713">
        <v>7.1999999999999998E-3</v>
      </c>
      <c r="K23" s="716">
        <f t="shared" si="10"/>
        <v>33.059663317254177</v>
      </c>
      <c r="L23" s="1212">
        <f t="shared" si="4"/>
        <v>0.21449327276838259</v>
      </c>
      <c r="M23" s="717">
        <f t="shared" si="2"/>
        <v>33.274156590022557</v>
      </c>
      <c r="N23" s="247">
        <f t="shared" si="1"/>
        <v>14</v>
      </c>
      <c r="O23" s="499"/>
    </row>
    <row r="24" spans="1:17">
      <c r="A24" s="247">
        <f t="shared" si="0"/>
        <v>15</v>
      </c>
      <c r="B24" s="18" t="s">
        <v>138</v>
      </c>
      <c r="C24" s="671" t="str">
        <f>C19</f>
        <v>2024</v>
      </c>
      <c r="D24" s="715">
        <f t="shared" si="5"/>
        <v>79.353976390724213</v>
      </c>
      <c r="E24" s="491">
        <f t="shared" si="6"/>
        <v>82.66081129400321</v>
      </c>
      <c r="F24" s="491">
        <f t="shared" si="7"/>
        <v>-7.7613635465699673</v>
      </c>
      <c r="G24" s="491">
        <f t="shared" si="8"/>
        <v>-2.0833333333333335</v>
      </c>
      <c r="H24" s="674">
        <f t="shared" si="9"/>
        <v>72.816114414099914</v>
      </c>
      <c r="I24" s="491">
        <f t="shared" si="3"/>
        <v>6.5378619766242991</v>
      </c>
      <c r="J24" s="713">
        <v>7.0000000000000001E-3</v>
      </c>
      <c r="K24" s="716">
        <f t="shared" si="10"/>
        <v>39.812018566646856</v>
      </c>
      <c r="L24" s="1212">
        <f>(M23+K24)/2*J24</f>
        <v>0.25580161304834292</v>
      </c>
      <c r="M24" s="717">
        <f t="shared" si="2"/>
        <v>40.067820179695197</v>
      </c>
      <c r="N24" s="247">
        <f t="shared" si="1"/>
        <v>15</v>
      </c>
      <c r="O24" s="499"/>
    </row>
    <row r="25" spans="1:17">
      <c r="A25" s="247">
        <f t="shared" si="0"/>
        <v>16</v>
      </c>
      <c r="B25" s="18" t="s">
        <v>139</v>
      </c>
      <c r="C25" s="671" t="str">
        <f>C19</f>
        <v>2024</v>
      </c>
      <c r="D25" s="715">
        <f t="shared" si="5"/>
        <v>79.353976390724213</v>
      </c>
      <c r="E25" s="491">
        <f t="shared" si="6"/>
        <v>82.66081129400321</v>
      </c>
      <c r="F25" s="491">
        <f t="shared" si="7"/>
        <v>-7.7613635465699673</v>
      </c>
      <c r="G25" s="491">
        <f t="shared" si="8"/>
        <v>-2.0833333333333335</v>
      </c>
      <c r="H25" s="674">
        <f t="shared" si="9"/>
        <v>72.816114414099914</v>
      </c>
      <c r="I25" s="491">
        <f t="shared" si="3"/>
        <v>6.5378619766242991</v>
      </c>
      <c r="J25" s="713">
        <v>7.1999999999999998E-3</v>
      </c>
      <c r="K25" s="716">
        <f t="shared" si="10"/>
        <v>46.605682156319496</v>
      </c>
      <c r="L25" s="1212">
        <f t="shared" si="4"/>
        <v>0.3120246084096529</v>
      </c>
      <c r="M25" s="717">
        <f t="shared" si="2"/>
        <v>46.917706764729147</v>
      </c>
      <c r="N25" s="247">
        <f t="shared" si="1"/>
        <v>16</v>
      </c>
      <c r="O25" s="499"/>
    </row>
    <row r="26" spans="1:17">
      <c r="A26" s="247">
        <f t="shared" si="0"/>
        <v>17</v>
      </c>
      <c r="B26" s="18" t="s">
        <v>140</v>
      </c>
      <c r="C26" s="671" t="str">
        <f>C19</f>
        <v>2024</v>
      </c>
      <c r="D26" s="715">
        <f t="shared" si="5"/>
        <v>79.353976390724213</v>
      </c>
      <c r="E26" s="491">
        <f t="shared" si="6"/>
        <v>82.66081129400321</v>
      </c>
      <c r="F26" s="491">
        <f t="shared" si="7"/>
        <v>-7.7613635465699673</v>
      </c>
      <c r="G26" s="491">
        <f t="shared" si="8"/>
        <v>-2.0833333333333335</v>
      </c>
      <c r="H26" s="674">
        <f t="shared" si="9"/>
        <v>72.816114414099914</v>
      </c>
      <c r="I26" s="491">
        <f t="shared" si="3"/>
        <v>6.5378619766242991</v>
      </c>
      <c r="J26" s="713">
        <v>7.1999999999999998E-3</v>
      </c>
      <c r="K26" s="716">
        <f t="shared" si="10"/>
        <v>53.455568741353446</v>
      </c>
      <c r="L26" s="1212">
        <f t="shared" si="4"/>
        <v>0.3613437918218973</v>
      </c>
      <c r="M26" s="717">
        <f t="shared" si="2"/>
        <v>53.816912533175341</v>
      </c>
      <c r="N26" s="247">
        <f t="shared" si="1"/>
        <v>17</v>
      </c>
      <c r="O26" s="499"/>
    </row>
    <row r="27" spans="1:17">
      <c r="A27" s="247">
        <f t="shared" si="0"/>
        <v>18</v>
      </c>
      <c r="B27" s="18" t="s">
        <v>141</v>
      </c>
      <c r="C27" s="671" t="str">
        <f>C19</f>
        <v>2024</v>
      </c>
      <c r="D27" s="715">
        <f t="shared" si="5"/>
        <v>79.353976390724213</v>
      </c>
      <c r="E27" s="491">
        <f t="shared" si="6"/>
        <v>82.66081129400321</v>
      </c>
      <c r="F27" s="491">
        <f t="shared" si="7"/>
        <v>-7.7613635465699673</v>
      </c>
      <c r="G27" s="491">
        <f t="shared" si="8"/>
        <v>-2.0833333333333335</v>
      </c>
      <c r="H27" s="674">
        <f t="shared" si="9"/>
        <v>72.816114414099914</v>
      </c>
      <c r="I27" s="491">
        <f t="shared" si="3"/>
        <v>6.5378619766242991</v>
      </c>
      <c r="J27" s="713">
        <v>7.0000000000000001E-3</v>
      </c>
      <c r="K27" s="716">
        <f t="shared" si="10"/>
        <v>60.35477450979964</v>
      </c>
      <c r="L27" s="1212">
        <f t="shared" si="4"/>
        <v>0.39960090465041243</v>
      </c>
      <c r="M27" s="717">
        <f t="shared" si="2"/>
        <v>60.754375414450053</v>
      </c>
      <c r="N27" s="247">
        <f t="shared" si="1"/>
        <v>18</v>
      </c>
      <c r="O27" s="499"/>
    </row>
    <row r="28" spans="1:17">
      <c r="A28" s="247">
        <f t="shared" si="0"/>
        <v>19</v>
      </c>
      <c r="B28" s="18" t="s">
        <v>142</v>
      </c>
      <c r="C28" s="671" t="str">
        <f>C19</f>
        <v>2024</v>
      </c>
      <c r="D28" s="715">
        <f t="shared" si="5"/>
        <v>79.353976390724213</v>
      </c>
      <c r="E28" s="491">
        <f t="shared" si="6"/>
        <v>82.66081129400321</v>
      </c>
      <c r="F28" s="491">
        <f t="shared" si="7"/>
        <v>-7.7613635465699673</v>
      </c>
      <c r="G28" s="491">
        <f t="shared" si="8"/>
        <v>-2.0833333333333335</v>
      </c>
      <c r="H28" s="674">
        <f t="shared" si="9"/>
        <v>72.816114414099914</v>
      </c>
      <c r="I28" s="491">
        <f t="shared" si="3"/>
        <v>6.5378619766242991</v>
      </c>
      <c r="J28" s="713">
        <v>7.1999999999999998E-3</v>
      </c>
      <c r="K28" s="716">
        <f t="shared" si="10"/>
        <v>67.292237391074352</v>
      </c>
      <c r="L28" s="1212">
        <f t="shared" si="4"/>
        <v>0.46096780609988786</v>
      </c>
      <c r="M28" s="717">
        <f t="shared" si="2"/>
        <v>67.753205197174239</v>
      </c>
      <c r="N28" s="247">
        <f t="shared" si="1"/>
        <v>19</v>
      </c>
      <c r="O28" s="499"/>
    </row>
    <row r="29" spans="1:17">
      <c r="A29" s="247">
        <f t="shared" si="0"/>
        <v>20</v>
      </c>
      <c r="B29" s="18" t="s">
        <v>143</v>
      </c>
      <c r="C29" s="671" t="str">
        <f>C19</f>
        <v>2024</v>
      </c>
      <c r="D29" s="715">
        <f t="shared" si="5"/>
        <v>79.353976390724213</v>
      </c>
      <c r="E29" s="491">
        <f t="shared" si="6"/>
        <v>82.66081129400321</v>
      </c>
      <c r="F29" s="491">
        <f t="shared" si="7"/>
        <v>-7.7613635465699673</v>
      </c>
      <c r="G29" s="491">
        <f t="shared" si="8"/>
        <v>-2.0833333333333335</v>
      </c>
      <c r="H29" s="674">
        <f t="shared" si="9"/>
        <v>72.816114414099914</v>
      </c>
      <c r="I29" s="491">
        <f t="shared" si="3"/>
        <v>6.5378619766242991</v>
      </c>
      <c r="J29" s="713">
        <v>7.0000000000000001E-3</v>
      </c>
      <c r="K29" s="716">
        <f t="shared" si="10"/>
        <v>74.291067173798538</v>
      </c>
      <c r="L29" s="1212">
        <f t="shared" si="4"/>
        <v>0.49715495329840476</v>
      </c>
      <c r="M29" s="717">
        <f t="shared" si="2"/>
        <v>74.788222127096944</v>
      </c>
      <c r="N29" s="247">
        <f t="shared" si="1"/>
        <v>20</v>
      </c>
      <c r="O29" s="499"/>
    </row>
    <row r="30" spans="1:17">
      <c r="A30" s="247">
        <f t="shared" si="0"/>
        <v>21</v>
      </c>
      <c r="B30" s="947" t="s">
        <v>144</v>
      </c>
      <c r="C30" s="948" t="str">
        <f>C19</f>
        <v>2024</v>
      </c>
      <c r="D30" s="715">
        <f t="shared" si="5"/>
        <v>79.353976390724213</v>
      </c>
      <c r="E30" s="491">
        <f t="shared" si="6"/>
        <v>82.66081129400321</v>
      </c>
      <c r="F30" s="491">
        <f t="shared" si="7"/>
        <v>-7.7613635465699673</v>
      </c>
      <c r="G30" s="491">
        <f t="shared" si="8"/>
        <v>-2.0833333333333335</v>
      </c>
      <c r="H30" s="949">
        <f>SUM(E30:G30)</f>
        <v>72.816114414099914</v>
      </c>
      <c r="I30" s="945">
        <f t="shared" si="3"/>
        <v>6.5378619766242991</v>
      </c>
      <c r="J30" s="950">
        <v>7.1999999999999998E-3</v>
      </c>
      <c r="K30" s="951">
        <f t="shared" si="10"/>
        <v>81.326084103721243</v>
      </c>
      <c r="L30" s="1213">
        <f t="shared" si="4"/>
        <v>0.56201150243094544</v>
      </c>
      <c r="M30" s="949">
        <f t="shared" si="2"/>
        <v>81.888095606152191</v>
      </c>
      <c r="N30" s="247">
        <f t="shared" si="1"/>
        <v>21</v>
      </c>
      <c r="O30" s="499"/>
    </row>
    <row r="31" spans="1:17" ht="16.5" thickBot="1">
      <c r="A31" s="247">
        <f t="shared" si="0"/>
        <v>22</v>
      </c>
      <c r="D31" s="719">
        <f t="shared" ref="D31:I31" si="11">SUM(D19:D30)</f>
        <v>952.24771668869073</v>
      </c>
      <c r="E31" s="719">
        <f t="shared" si="11"/>
        <v>991.92973552803858</v>
      </c>
      <c r="F31" s="719">
        <f t="shared" si="11"/>
        <v>-93.136362558839608</v>
      </c>
      <c r="G31" s="719">
        <f t="shared" si="11"/>
        <v>-24.999999999999996</v>
      </c>
      <c r="H31" s="719">
        <f t="shared" si="11"/>
        <v>873.79337296919914</v>
      </c>
      <c r="I31" s="719">
        <f t="shared" si="11"/>
        <v>78.45434371949159</v>
      </c>
      <c r="J31" s="720"/>
      <c r="K31" s="721"/>
      <c r="L31" s="1214">
        <f>SUM(L19:L30)</f>
        <v>3.4337518866606085</v>
      </c>
      <c r="M31" s="721"/>
      <c r="N31" s="247">
        <f t="shared" si="1"/>
        <v>22</v>
      </c>
    </row>
    <row r="32" spans="1:17" ht="16.5" thickTop="1">
      <c r="D32" s="722"/>
      <c r="E32" s="722"/>
      <c r="F32" s="722"/>
      <c r="G32" s="722"/>
      <c r="H32" s="722"/>
      <c r="I32" s="722"/>
      <c r="J32" s="722"/>
      <c r="K32" s="722"/>
      <c r="L32" s="722"/>
      <c r="M32" s="722"/>
    </row>
    <row r="33" spans="1:7">
      <c r="B33" s="723"/>
      <c r="F33" s="724"/>
      <c r="G33" s="724"/>
    </row>
    <row r="34" spans="1:7" ht="18.75">
      <c r="A34" s="677">
        <v>1</v>
      </c>
      <c r="B34" s="216" t="s">
        <v>892</v>
      </c>
      <c r="F34" s="724"/>
      <c r="G34" s="724"/>
    </row>
    <row r="35" spans="1:7" ht="18.75">
      <c r="A35" s="677">
        <v>2</v>
      </c>
      <c r="B35" s="216" t="s">
        <v>145</v>
      </c>
    </row>
    <row r="36" spans="1:7" ht="18.75">
      <c r="A36" s="677">
        <v>3</v>
      </c>
      <c r="B36" s="216" t="s">
        <v>146</v>
      </c>
    </row>
    <row r="37" spans="1:7" ht="18.75">
      <c r="A37" s="677">
        <v>4</v>
      </c>
      <c r="B37" s="216" t="s">
        <v>147</v>
      </c>
    </row>
    <row r="38" spans="1:7" ht="18.75">
      <c r="A38" s="677"/>
      <c r="B38" s="216" t="s">
        <v>148</v>
      </c>
    </row>
    <row r="39" spans="1:7" ht="18.75">
      <c r="A39" s="677">
        <v>5</v>
      </c>
      <c r="B39" s="216" t="s">
        <v>149</v>
      </c>
      <c r="C39" s="237"/>
    </row>
    <row r="40" spans="1:7" ht="18.75">
      <c r="A40" s="677">
        <v>6</v>
      </c>
      <c r="B40" s="216" t="s">
        <v>150</v>
      </c>
    </row>
    <row r="41" spans="1:7" ht="18.75">
      <c r="A41" s="677">
        <v>7</v>
      </c>
      <c r="B41" s="216" t="s">
        <v>151</v>
      </c>
    </row>
  </sheetData>
  <mergeCells count="5">
    <mergeCell ref="B6:M6"/>
    <mergeCell ref="B4:N4"/>
    <mergeCell ref="B5:N5"/>
    <mergeCell ref="B3:N3"/>
    <mergeCell ref="B2:N2"/>
  </mergeCells>
  <printOptions horizontalCentered="1"/>
  <pageMargins left="0.5" right="0.5" top="0.5" bottom="0.5" header="0.25" footer="0.25"/>
  <pageSetup scale="49" orientation="landscape" r:id="rId1"/>
  <headerFooter scaleWithDoc="0">
    <oddFooter>&amp;C&amp;"Times New Roman,Regular"&amp;10Section 4
TU</oddFooter>
  </headerFooter>
  <rowBreaks count="1" manualBreakCount="1">
    <brk id="48" max="14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3"/>
  <sheetViews>
    <sheetView zoomScale="80" zoomScaleNormal="80" workbookViewId="0">
      <selection activeCell="D11" sqref="D11"/>
    </sheetView>
  </sheetViews>
  <sheetFormatPr defaultColWidth="8.5703125" defaultRowHeight="15.75"/>
  <cols>
    <col min="1" max="1" width="5.140625" style="247" customWidth="1"/>
    <col min="2" max="2" width="69.140625" style="3" customWidth="1"/>
    <col min="3" max="3" width="14.5703125" style="3" customWidth="1"/>
    <col min="4" max="4" width="50.5703125" style="3" bestFit="1" customWidth="1"/>
    <col min="5" max="5" width="5.140625" style="247" customWidth="1"/>
    <col min="6" max="16384" width="8.5703125" style="3"/>
  </cols>
  <sheetData>
    <row r="1" spans="1:7">
      <c r="A1" s="562"/>
      <c r="B1" s="77"/>
      <c r="C1" s="77"/>
      <c r="D1" s="77"/>
      <c r="E1" s="562"/>
    </row>
    <row r="2" spans="1:7">
      <c r="A2" s="562"/>
      <c r="B2" s="1268" t="str">
        <f>'Summary of Cost Components'!B2:D2</f>
        <v>SAN DIEGO GAS &amp; ELECTRIC COMPANY</v>
      </c>
      <c r="C2" s="1268"/>
      <c r="D2" s="1268"/>
      <c r="E2" s="562"/>
    </row>
    <row r="3" spans="1:7">
      <c r="B3" s="1268" t="s">
        <v>1</v>
      </c>
      <c r="C3" s="1268"/>
      <c r="D3" s="1268"/>
      <c r="E3" s="109"/>
    </row>
    <row r="4" spans="1:7">
      <c r="B4" s="1268" t="s">
        <v>152</v>
      </c>
      <c r="C4" s="1268"/>
      <c r="D4" s="1268"/>
      <c r="E4" s="109"/>
    </row>
    <row r="5" spans="1:7">
      <c r="A5" s="562"/>
      <c r="B5" s="1267" t="str">
        <f>"Rate Effective Period January 1, "&amp;Automation!B3+1 &amp;" to December 31, "&amp;Automation!B3+1</f>
        <v>Rate Effective Period January 1, 2025 to December 31, 2025</v>
      </c>
      <c r="C5" s="1267"/>
      <c r="D5" s="1267"/>
      <c r="E5" s="562"/>
    </row>
    <row r="6" spans="1:7">
      <c r="B6" s="1269" t="s">
        <v>3</v>
      </c>
      <c r="C6" s="1268"/>
      <c r="D6" s="1268"/>
      <c r="E6" s="109"/>
    </row>
    <row r="7" spans="1:7" ht="16.5" thickBot="1">
      <c r="A7" s="562"/>
      <c r="B7" s="77"/>
      <c r="C7" s="63"/>
      <c r="D7" s="63"/>
      <c r="E7" s="562"/>
    </row>
    <row r="8" spans="1:7">
      <c r="A8" s="563" t="s">
        <v>4</v>
      </c>
      <c r="B8" s="536"/>
      <c r="C8" s="537"/>
      <c r="D8" s="538"/>
      <c r="E8" s="564" t="s">
        <v>4</v>
      </c>
    </row>
    <row r="9" spans="1:7">
      <c r="A9" s="563" t="s">
        <v>5</v>
      </c>
      <c r="B9" s="952" t="s">
        <v>6</v>
      </c>
      <c r="C9" s="952" t="s">
        <v>7</v>
      </c>
      <c r="D9" s="953" t="s">
        <v>8</v>
      </c>
      <c r="E9" s="564" t="s">
        <v>5</v>
      </c>
    </row>
    <row r="10" spans="1:7">
      <c r="A10" s="563"/>
      <c r="B10" s="926"/>
      <c r="C10" s="56"/>
      <c r="D10" s="88"/>
      <c r="E10" s="564"/>
    </row>
    <row r="11" spans="1:7">
      <c r="A11" s="563">
        <v>1</v>
      </c>
      <c r="B11" s="17" t="s">
        <v>9</v>
      </c>
      <c r="C11" s="855">
        <v>0</v>
      </c>
      <c r="D11" s="725" t="str">
        <f>"Cycle "&amp;Automation!B2-1&amp;"; Summary of Cost Components; Line 1"</f>
        <v>Cycle 7; Summary of Cost Components; Line 1</v>
      </c>
      <c r="E11" s="564">
        <f>A11</f>
        <v>1</v>
      </c>
      <c r="G11" s="701"/>
    </row>
    <row r="12" spans="1:7">
      <c r="A12" s="563">
        <f>A11+1</f>
        <v>2</v>
      </c>
      <c r="B12" s="16"/>
      <c r="C12" s="828"/>
      <c r="D12" s="86"/>
      <c r="E12" s="564">
        <f>E11+1</f>
        <v>2</v>
      </c>
    </row>
    <row r="13" spans="1:7">
      <c r="A13" s="563">
        <f t="shared" ref="A13:A28" si="0">A12+1</f>
        <v>3</v>
      </c>
      <c r="B13" s="17" t="s">
        <v>10</v>
      </c>
      <c r="C13" s="660">
        <v>907.1293850567223</v>
      </c>
      <c r="D13" s="89" t="str">
        <f>"Cycle "&amp;Automation!B2-1&amp;"; Summary of Cost Components; Line 3"</f>
        <v>Cycle 7; Summary of Cost Components; Line 3</v>
      </c>
      <c r="E13" s="564">
        <f t="shared" ref="E13:E28" si="1">E12+1</f>
        <v>3</v>
      </c>
      <c r="G13" s="702"/>
    </row>
    <row r="14" spans="1:7">
      <c r="A14" s="563">
        <f t="shared" si="0"/>
        <v>4</v>
      </c>
      <c r="B14" s="16"/>
      <c r="C14" s="828"/>
      <c r="D14" s="90"/>
      <c r="E14" s="564">
        <f t="shared" si="1"/>
        <v>4</v>
      </c>
    </row>
    <row r="15" spans="1:7">
      <c r="A15" s="563">
        <f t="shared" si="0"/>
        <v>5</v>
      </c>
      <c r="B15" s="17" t="s">
        <v>11</v>
      </c>
      <c r="C15" s="1091">
        <v>-22.633807665104086</v>
      </c>
      <c r="D15" s="658" t="str">
        <f>"Cycle "&amp;Automation!B2-1&amp;"; Summary of Cost Components; Line 5"</f>
        <v>Cycle 7; Summary of Cost Components; Line 5</v>
      </c>
      <c r="E15" s="564">
        <f t="shared" si="1"/>
        <v>5</v>
      </c>
      <c r="G15" s="702"/>
    </row>
    <row r="16" spans="1:7">
      <c r="A16" s="563">
        <f t="shared" si="0"/>
        <v>6</v>
      </c>
      <c r="B16" s="57"/>
      <c r="C16" s="828"/>
      <c r="D16" s="91"/>
      <c r="E16" s="564">
        <f t="shared" si="1"/>
        <v>6</v>
      </c>
    </row>
    <row r="17" spans="1:9">
      <c r="A17" s="563">
        <f t="shared" si="0"/>
        <v>7</v>
      </c>
      <c r="B17" s="830" t="s">
        <v>12</v>
      </c>
      <c r="C17" s="828">
        <f>C11+C13+C15</f>
        <v>884.49557739161821</v>
      </c>
      <c r="D17" s="94" t="str">
        <f>"Sum Lines "&amp;A11&amp;", "&amp;A13&amp;", "&amp;A15</f>
        <v>Sum Lines 1, 3, 5</v>
      </c>
      <c r="E17" s="564">
        <f t="shared" si="1"/>
        <v>7</v>
      </c>
    </row>
    <row r="18" spans="1:9">
      <c r="A18" s="563">
        <f t="shared" si="0"/>
        <v>8</v>
      </c>
      <c r="B18" s="57"/>
      <c r="C18" s="828"/>
      <c r="D18" s="835"/>
      <c r="E18" s="564">
        <f t="shared" si="1"/>
        <v>8</v>
      </c>
    </row>
    <row r="19" spans="1:9">
      <c r="A19" s="563">
        <f t="shared" si="0"/>
        <v>9</v>
      </c>
      <c r="B19" s="17" t="s">
        <v>13</v>
      </c>
      <c r="C19" s="660">
        <v>12.262473937705261</v>
      </c>
      <c r="D19" s="658" t="str">
        <f>"Cycle "&amp;Automation!B2-1&amp;"; Summary of Cost Components; Line 9"</f>
        <v>Cycle 7; Summary of Cost Components; Line 9</v>
      </c>
      <c r="E19" s="564">
        <f t="shared" si="1"/>
        <v>9</v>
      </c>
    </row>
    <row r="20" spans="1:9">
      <c r="A20" s="563">
        <f t="shared" si="0"/>
        <v>10</v>
      </c>
      <c r="B20" s="17"/>
      <c r="C20" s="828"/>
      <c r="D20" s="92"/>
      <c r="E20" s="564">
        <f t="shared" si="1"/>
        <v>10</v>
      </c>
    </row>
    <row r="21" spans="1:9">
      <c r="A21" s="563">
        <f t="shared" si="0"/>
        <v>11</v>
      </c>
      <c r="B21" s="17" t="s">
        <v>14</v>
      </c>
      <c r="C21" s="1091">
        <v>11.275977774723639</v>
      </c>
      <c r="D21" s="658" t="str">
        <f>"Cycle "&amp;Automation!B2-1&amp;"; Summary of Cost Components; Line 11"</f>
        <v>Cycle 7; Summary of Cost Components; Line 11</v>
      </c>
      <c r="E21" s="564">
        <f t="shared" si="1"/>
        <v>11</v>
      </c>
      <c r="G21" s="701"/>
    </row>
    <row r="22" spans="1:9">
      <c r="A22" s="563">
        <f t="shared" si="0"/>
        <v>12</v>
      </c>
      <c r="B22" s="57"/>
      <c r="C22" s="829"/>
      <c r="D22" s="93"/>
      <c r="E22" s="564">
        <f t="shared" si="1"/>
        <v>12</v>
      </c>
    </row>
    <row r="23" spans="1:9">
      <c r="A23" s="563">
        <f t="shared" si="0"/>
        <v>13</v>
      </c>
      <c r="B23" s="57" t="s">
        <v>15</v>
      </c>
      <c r="C23" s="176">
        <f>C17+C19+C21</f>
        <v>908.03402910404714</v>
      </c>
      <c r="D23" s="94" t="str">
        <f>"Sum Lines "&amp;A17&amp;", "&amp;A19&amp;", "&amp;A21</f>
        <v>Sum Lines 7, 9, 11</v>
      </c>
      <c r="E23" s="564">
        <f t="shared" si="1"/>
        <v>13</v>
      </c>
    </row>
    <row r="24" spans="1:9">
      <c r="A24" s="563">
        <f t="shared" si="0"/>
        <v>14</v>
      </c>
      <c r="B24" s="57"/>
      <c r="C24" s="829"/>
      <c r="D24" s="93"/>
      <c r="E24" s="564">
        <f t="shared" si="1"/>
        <v>14</v>
      </c>
    </row>
    <row r="25" spans="1:9">
      <c r="A25" s="563">
        <f t="shared" si="0"/>
        <v>15</v>
      </c>
      <c r="B25" s="17" t="s">
        <v>16</v>
      </c>
      <c r="C25" s="1092">
        <v>3.97</v>
      </c>
      <c r="D25" s="658" t="s">
        <v>17</v>
      </c>
      <c r="E25" s="564">
        <f t="shared" si="1"/>
        <v>15</v>
      </c>
      <c r="G25" s="702"/>
    </row>
    <row r="26" spans="1:9">
      <c r="A26" s="563">
        <f t="shared" si="0"/>
        <v>16</v>
      </c>
      <c r="B26" s="63"/>
      <c r="C26" s="927"/>
      <c r="D26" s="93"/>
      <c r="E26" s="564">
        <f t="shared" si="1"/>
        <v>16</v>
      </c>
    </row>
    <row r="27" spans="1:9" ht="16.5" thickBot="1">
      <c r="A27" s="563">
        <f t="shared" si="0"/>
        <v>17</v>
      </c>
      <c r="B27" s="830" t="s">
        <v>18</v>
      </c>
      <c r="C27" s="598">
        <f>C23+C25</f>
        <v>912.00402910404716</v>
      </c>
      <c r="D27" s="21" t="str">
        <f>"Line "&amp;A23&amp;" + Line "&amp;A25</f>
        <v>Line 13 + Line 15</v>
      </c>
      <c r="E27" s="564">
        <f t="shared" si="1"/>
        <v>17</v>
      </c>
      <c r="H27" s="701"/>
      <c r="I27" s="703"/>
    </row>
    <row r="28" spans="1:9" ht="17.25" thickTop="1" thickBot="1">
      <c r="A28" s="563">
        <f t="shared" si="0"/>
        <v>18</v>
      </c>
      <c r="B28" s="928"/>
      <c r="C28" s="928"/>
      <c r="D28" s="96"/>
      <c r="E28" s="564">
        <f t="shared" si="1"/>
        <v>18</v>
      </c>
    </row>
    <row r="30" spans="1:9" ht="16.5" thickBot="1">
      <c r="A30" s="562"/>
      <c r="B30" s="929"/>
      <c r="C30" s="930"/>
      <c r="D30" s="930"/>
      <c r="E30" s="562"/>
    </row>
    <row r="31" spans="1:9">
      <c r="A31" s="563" t="s">
        <v>4</v>
      </c>
      <c r="B31" s="55"/>
      <c r="C31" s="55"/>
      <c r="D31" s="86"/>
      <c r="E31" s="564" t="s">
        <v>4</v>
      </c>
    </row>
    <row r="32" spans="1:9">
      <c r="A32" s="563" t="s">
        <v>5</v>
      </c>
      <c r="B32" s="952" t="s">
        <v>19</v>
      </c>
      <c r="C32" s="952" t="str">
        <f>C9</f>
        <v>Amounts</v>
      </c>
      <c r="D32" s="953" t="str">
        <f>D9</f>
        <v>Reference</v>
      </c>
      <c r="E32" s="564" t="s">
        <v>5</v>
      </c>
    </row>
    <row r="33" spans="1:5">
      <c r="A33" s="563">
        <f>A28+1</f>
        <v>19</v>
      </c>
      <c r="B33" s="54"/>
      <c r="C33" s="56"/>
      <c r="D33" s="88"/>
      <c r="E33" s="564">
        <f>E28+1</f>
        <v>19</v>
      </c>
    </row>
    <row r="34" spans="1:5">
      <c r="A34" s="563">
        <f>A33+1</f>
        <v>20</v>
      </c>
      <c r="B34" s="848" t="str">
        <f>B11</f>
        <v>Section 1 - Direct Maintenance Expense Cost Component</v>
      </c>
      <c r="C34" s="795">
        <f>C11/12</f>
        <v>0</v>
      </c>
      <c r="D34" s="89" t="str">
        <f>"Line "&amp;A11&amp;" / "&amp;C50&amp;" Months"</f>
        <v>Line 1 / 12 Months</v>
      </c>
      <c r="E34" s="564">
        <f>E33+1</f>
        <v>20</v>
      </c>
    </row>
    <row r="35" spans="1:5">
      <c r="A35" s="563">
        <f t="shared" ref="A35:A53" si="2">A34+1</f>
        <v>21</v>
      </c>
      <c r="B35" s="704"/>
      <c r="C35" s="25"/>
      <c r="D35" s="85"/>
      <c r="E35" s="564">
        <f t="shared" ref="E35:E53" si="3">E34+1</f>
        <v>21</v>
      </c>
    </row>
    <row r="36" spans="1:5">
      <c r="A36" s="563">
        <f t="shared" si="2"/>
        <v>22</v>
      </c>
      <c r="B36" s="848" t="str">
        <f>B13</f>
        <v>Section 2 - Non-Direct Expense Cost Component</v>
      </c>
      <c r="C36" s="847">
        <f>C13/12</f>
        <v>75.594115421393525</v>
      </c>
      <c r="D36" s="89" t="str">
        <f>"Line "&amp;A13&amp;" / "&amp;C50&amp;" Months"</f>
        <v>Line 3 / 12 Months</v>
      </c>
      <c r="E36" s="564">
        <f t="shared" si="3"/>
        <v>22</v>
      </c>
    </row>
    <row r="37" spans="1:5">
      <c r="A37" s="563">
        <f t="shared" si="2"/>
        <v>23</v>
      </c>
      <c r="B37" s="704"/>
      <c r="C37" s="797"/>
      <c r="D37" s="97"/>
      <c r="E37" s="564">
        <f t="shared" si="3"/>
        <v>23</v>
      </c>
    </row>
    <row r="38" spans="1:5">
      <c r="A38" s="563">
        <f t="shared" si="2"/>
        <v>24</v>
      </c>
      <c r="B38" s="848" t="str">
        <f>B15</f>
        <v>Section 3 - Cost Component Containing Other Specific Expenses</v>
      </c>
      <c r="C38" s="1093">
        <f>C15/12</f>
        <v>-1.8861506387586739</v>
      </c>
      <c r="D38" s="89" t="str">
        <f>"Line "&amp;A15&amp;" / "&amp;C50&amp;" Months"</f>
        <v>Line 5 / 12 Months</v>
      </c>
      <c r="E38" s="564">
        <f t="shared" si="3"/>
        <v>24</v>
      </c>
    </row>
    <row r="39" spans="1:5">
      <c r="A39" s="563">
        <f t="shared" si="2"/>
        <v>25</v>
      </c>
      <c r="B39" s="87"/>
      <c r="C39" s="796"/>
      <c r="D39" s="89"/>
      <c r="E39" s="564">
        <f t="shared" si="3"/>
        <v>25</v>
      </c>
    </row>
    <row r="40" spans="1:5">
      <c r="A40" s="563">
        <f t="shared" si="2"/>
        <v>26</v>
      </c>
      <c r="B40" s="830" t="s">
        <v>20</v>
      </c>
      <c r="C40" s="900">
        <f>C34+C36+C38</f>
        <v>73.707964782634846</v>
      </c>
      <c r="D40" s="94" t="str">
        <f>"Sum Lines "&amp;A34&amp;", "&amp;A36&amp;", "&amp;A38</f>
        <v>Sum Lines 20, 22, 24</v>
      </c>
      <c r="E40" s="564">
        <f t="shared" si="3"/>
        <v>26</v>
      </c>
    </row>
    <row r="41" spans="1:5">
      <c r="A41" s="563">
        <f t="shared" si="2"/>
        <v>27</v>
      </c>
      <c r="B41" s="54"/>
      <c r="C41" s="797"/>
      <c r="D41" s="90"/>
      <c r="E41" s="564">
        <f t="shared" si="3"/>
        <v>27</v>
      </c>
    </row>
    <row r="42" spans="1:5">
      <c r="A42" s="563">
        <f t="shared" si="2"/>
        <v>28</v>
      </c>
      <c r="B42" s="848" t="str">
        <f>LEFT(B19,45)</f>
        <v>Section 4 - True-Up Adjustment Cost Component</v>
      </c>
      <c r="C42" s="847">
        <f>C19/12</f>
        <v>1.021872828142105</v>
      </c>
      <c r="D42" s="89" t="str">
        <f>"Line "&amp;A19&amp;" / "&amp;C4913&amp;" Months"</f>
        <v>Line 9 /  Months</v>
      </c>
      <c r="E42" s="564">
        <f t="shared" si="3"/>
        <v>28</v>
      </c>
    </row>
    <row r="43" spans="1:5">
      <c r="A43" s="563">
        <f t="shared" si="2"/>
        <v>29</v>
      </c>
      <c r="B43" s="848"/>
      <c r="C43" s="797"/>
      <c r="D43" s="98"/>
      <c r="E43" s="564">
        <f t="shared" si="3"/>
        <v>29</v>
      </c>
    </row>
    <row r="44" spans="1:5">
      <c r="A44" s="563">
        <f t="shared" si="2"/>
        <v>30</v>
      </c>
      <c r="B44" s="848" t="str">
        <f>B21</f>
        <v>Section 5 - Interest True-Up Adjustment Cost Component</v>
      </c>
      <c r="C44" s="847">
        <f>C21/12</f>
        <v>0.93966481456030326</v>
      </c>
      <c r="D44" s="93" t="str">
        <f>"Line "&amp;A21&amp;" / "&amp;C50&amp;" Months"</f>
        <v>Line 11 / 12 Months</v>
      </c>
      <c r="E44" s="564">
        <f t="shared" si="3"/>
        <v>30</v>
      </c>
    </row>
    <row r="45" spans="1:5">
      <c r="A45" s="563">
        <f t="shared" si="2"/>
        <v>31</v>
      </c>
      <c r="B45" s="87"/>
      <c r="C45" s="798"/>
      <c r="D45" s="95"/>
      <c r="E45" s="564">
        <f t="shared" si="3"/>
        <v>31</v>
      </c>
    </row>
    <row r="46" spans="1:5">
      <c r="A46" s="563">
        <f t="shared" si="2"/>
        <v>32</v>
      </c>
      <c r="B46" s="17" t="str">
        <f>B25</f>
        <v>Other Adjustments</v>
      </c>
      <c r="C46" s="1093">
        <f>C25/12</f>
        <v>0.33083333333333337</v>
      </c>
      <c r="D46" s="93" t="str">
        <f>"Line "&amp;A25&amp;" / "&amp;C50&amp;" Months"</f>
        <v>Line 15 / 12 Months</v>
      </c>
      <c r="E46" s="564">
        <f t="shared" si="3"/>
        <v>32</v>
      </c>
    </row>
    <row r="47" spans="1:5">
      <c r="A47" s="563">
        <f t="shared" si="2"/>
        <v>33</v>
      </c>
      <c r="B47" s="57"/>
      <c r="C47" s="798"/>
      <c r="D47" s="794"/>
      <c r="E47" s="564">
        <f t="shared" si="3"/>
        <v>33</v>
      </c>
    </row>
    <row r="48" spans="1:5" ht="16.5" thickBot="1">
      <c r="A48" s="563">
        <f t="shared" si="2"/>
        <v>34</v>
      </c>
      <c r="B48" s="57" t="s">
        <v>21</v>
      </c>
      <c r="C48" s="849">
        <f>C27/12</f>
        <v>76.000335758670602</v>
      </c>
      <c r="D48" s="94" t="str">
        <f>"Sum Lines "&amp;A40&amp;", "&amp;A42&amp;", "&amp;A44&amp;", "&amp;A46</f>
        <v>Sum Lines 26, 28, 30, 32</v>
      </c>
      <c r="E48" s="564">
        <f t="shared" si="3"/>
        <v>34</v>
      </c>
    </row>
    <row r="49" spans="1:5" ht="16.5" thickTop="1">
      <c r="A49" s="563">
        <f t="shared" si="2"/>
        <v>35</v>
      </c>
      <c r="B49" s="54"/>
      <c r="C49" s="931"/>
      <c r="D49" s="99"/>
      <c r="E49" s="564">
        <f t="shared" si="3"/>
        <v>35</v>
      </c>
    </row>
    <row r="50" spans="1:5">
      <c r="A50" s="563">
        <f t="shared" si="2"/>
        <v>36</v>
      </c>
      <c r="B50" s="704" t="s">
        <v>22</v>
      </c>
      <c r="C50" s="1094">
        <v>12</v>
      </c>
      <c r="D50" s="99"/>
      <c r="E50" s="564">
        <f t="shared" si="3"/>
        <v>36</v>
      </c>
    </row>
    <row r="51" spans="1:5">
      <c r="A51" s="563">
        <f t="shared" si="2"/>
        <v>37</v>
      </c>
      <c r="B51" s="54"/>
      <c r="C51" s="931"/>
      <c r="D51" s="100"/>
      <c r="E51" s="564">
        <f t="shared" si="3"/>
        <v>37</v>
      </c>
    </row>
    <row r="52" spans="1:5" ht="16.5" thickBot="1">
      <c r="A52" s="563">
        <f t="shared" si="2"/>
        <v>38</v>
      </c>
      <c r="B52" s="830" t="str">
        <f>B27</f>
        <v>Total Annual Costs</v>
      </c>
      <c r="C52" s="593">
        <f>C48*C50</f>
        <v>912.00402910404728</v>
      </c>
      <c r="D52" s="93" t="str">
        <f>"Line "&amp;A48&amp;" x Line "&amp;A50</f>
        <v>Line 34 x Line 36</v>
      </c>
      <c r="E52" s="564">
        <f t="shared" si="3"/>
        <v>38</v>
      </c>
    </row>
    <row r="53" spans="1:5" ht="17.25" thickTop="1" thickBot="1">
      <c r="A53" s="563">
        <f t="shared" si="2"/>
        <v>39</v>
      </c>
      <c r="B53" s="932"/>
      <c r="C53" s="24"/>
      <c r="D53" s="101"/>
      <c r="E53" s="564">
        <f t="shared" si="3"/>
        <v>39</v>
      </c>
    </row>
  </sheetData>
  <mergeCells count="5">
    <mergeCell ref="B3:D3"/>
    <mergeCell ref="B4:D4"/>
    <mergeCell ref="B5:D5"/>
    <mergeCell ref="B6:D6"/>
    <mergeCell ref="B2:D2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Roman,Regular"&amp;10Section 4
Cycle 7 Invoice Summary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2D1D-EC81-4DC0-B44D-3E964C2F2C10}">
  <sheetPr>
    <pageSetUpPr fitToPage="1"/>
  </sheetPr>
  <dimension ref="A1:I53"/>
  <sheetViews>
    <sheetView zoomScale="80" zoomScaleNormal="80" workbookViewId="0">
      <selection activeCell="H54" sqref="H54"/>
    </sheetView>
  </sheetViews>
  <sheetFormatPr defaultColWidth="8.5703125" defaultRowHeight="15.75"/>
  <cols>
    <col min="1" max="1" width="5.140625" style="247" customWidth="1"/>
    <col min="2" max="2" width="73.140625" style="3" bestFit="1" customWidth="1"/>
    <col min="3" max="3" width="14.5703125" style="3" customWidth="1"/>
    <col min="4" max="4" width="51.42578125" style="3" bestFit="1" customWidth="1"/>
    <col min="5" max="5" width="5.140625" style="247" customWidth="1"/>
    <col min="6" max="16384" width="8.5703125" style="3"/>
  </cols>
  <sheetData>
    <row r="1" spans="1:7">
      <c r="A1" s="1210"/>
      <c r="B1" s="77"/>
      <c r="C1" s="77"/>
      <c r="D1" s="77"/>
      <c r="E1" s="1210"/>
    </row>
    <row r="2" spans="1:7">
      <c r="A2" s="1210"/>
      <c r="B2" s="1268" t="s">
        <v>0</v>
      </c>
      <c r="C2" s="1268"/>
      <c r="D2" s="1268"/>
      <c r="E2" s="77"/>
    </row>
    <row r="3" spans="1:7">
      <c r="B3" s="1268" t="s">
        <v>1</v>
      </c>
      <c r="C3" s="1268"/>
      <c r="D3" s="1268"/>
      <c r="E3" s="109"/>
    </row>
    <row r="4" spans="1:7">
      <c r="B4" s="1268" t="s">
        <v>2</v>
      </c>
      <c r="C4" s="1268"/>
      <c r="D4" s="1268"/>
      <c r="E4" s="109"/>
    </row>
    <row r="5" spans="1:7">
      <c r="A5" s="1210"/>
      <c r="B5" s="1267" t="s">
        <v>1015</v>
      </c>
      <c r="C5" s="1267"/>
      <c r="D5" s="1267"/>
      <c r="E5" s="1210"/>
    </row>
    <row r="6" spans="1:7">
      <c r="B6" s="1269" t="s">
        <v>3</v>
      </c>
      <c r="C6" s="1268"/>
      <c r="D6" s="1268"/>
      <c r="E6" s="109"/>
    </row>
    <row r="7" spans="1:7" ht="16.5" thickBot="1">
      <c r="A7" s="1210"/>
      <c r="B7" s="77"/>
      <c r="C7" s="63"/>
      <c r="D7" s="63"/>
      <c r="E7" s="1210"/>
    </row>
    <row r="8" spans="1:7">
      <c r="A8" s="563" t="s">
        <v>4</v>
      </c>
      <c r="B8" s="536"/>
      <c r="C8" s="537"/>
      <c r="D8" s="538"/>
      <c r="E8" s="564" t="s">
        <v>4</v>
      </c>
    </row>
    <row r="9" spans="1:7">
      <c r="A9" s="563" t="s">
        <v>5</v>
      </c>
      <c r="B9" s="952" t="s">
        <v>6</v>
      </c>
      <c r="C9" s="952" t="s">
        <v>7</v>
      </c>
      <c r="D9" s="953" t="s">
        <v>8</v>
      </c>
      <c r="E9" s="564" t="s">
        <v>5</v>
      </c>
    </row>
    <row r="10" spans="1:7">
      <c r="A10" s="563"/>
      <c r="B10" s="926"/>
      <c r="C10" s="56"/>
      <c r="D10" s="88"/>
      <c r="E10" s="564"/>
    </row>
    <row r="11" spans="1:7">
      <c r="A11" s="563">
        <v>1</v>
      </c>
      <c r="B11" s="848" t="s">
        <v>9</v>
      </c>
      <c r="C11" s="595">
        <v>0</v>
      </c>
      <c r="D11" s="89" t="s">
        <v>900</v>
      </c>
      <c r="E11" s="564">
        <f>A11</f>
        <v>1</v>
      </c>
      <c r="G11" s="701"/>
    </row>
    <row r="12" spans="1:7">
      <c r="A12" s="563">
        <f>A11+1</f>
        <v>2</v>
      </c>
      <c r="B12" s="704"/>
      <c r="C12" s="596"/>
      <c r="D12" s="86"/>
      <c r="E12" s="564">
        <f>E11+1</f>
        <v>2</v>
      </c>
    </row>
    <row r="13" spans="1:7">
      <c r="A13" s="563">
        <f t="shared" ref="A13:A28" si="0">A12+1</f>
        <v>3</v>
      </c>
      <c r="B13" s="848" t="s">
        <v>10</v>
      </c>
      <c r="C13" s="597">
        <v>908.75746351082262</v>
      </c>
      <c r="D13" s="89" t="s">
        <v>901</v>
      </c>
      <c r="E13" s="564">
        <f t="shared" ref="E13:E28" si="1">E12+1</f>
        <v>3</v>
      </c>
      <c r="G13" s="702"/>
    </row>
    <row r="14" spans="1:7">
      <c r="A14" s="563">
        <f t="shared" si="0"/>
        <v>4</v>
      </c>
      <c r="B14" s="704"/>
      <c r="C14" s="596"/>
      <c r="D14" s="90"/>
      <c r="E14" s="564">
        <f t="shared" si="1"/>
        <v>4</v>
      </c>
    </row>
    <row r="15" spans="1:7">
      <c r="A15" s="563">
        <f t="shared" si="0"/>
        <v>5</v>
      </c>
      <c r="B15" s="17" t="s">
        <v>11</v>
      </c>
      <c r="C15" s="1091">
        <v>-35.964090541623818</v>
      </c>
      <c r="D15" s="658" t="s">
        <v>902</v>
      </c>
      <c r="E15" s="564">
        <f t="shared" si="1"/>
        <v>5</v>
      </c>
      <c r="G15" s="702"/>
    </row>
    <row r="16" spans="1:7">
      <c r="A16" s="563">
        <f t="shared" si="0"/>
        <v>6</v>
      </c>
      <c r="B16" s="57"/>
      <c r="C16" s="831"/>
      <c r="D16" s="658"/>
      <c r="E16" s="564">
        <f t="shared" si="1"/>
        <v>6</v>
      </c>
      <c r="G16" s="702"/>
    </row>
    <row r="17" spans="1:9">
      <c r="A17" s="563">
        <f t="shared" si="0"/>
        <v>7</v>
      </c>
      <c r="B17" s="830" t="s">
        <v>12</v>
      </c>
      <c r="C17" s="899">
        <f>C11+C13+C15</f>
        <v>872.7933729691988</v>
      </c>
      <c r="D17" s="94" t="str">
        <f>"Sum Lines "&amp;A11&amp;", "&amp;A13&amp;", "&amp;A15</f>
        <v>Sum Lines 1, 3, 5</v>
      </c>
      <c r="E17" s="564">
        <f t="shared" si="1"/>
        <v>7</v>
      </c>
      <c r="G17" s="702"/>
    </row>
    <row r="18" spans="1:9">
      <c r="A18" s="563">
        <f t="shared" si="0"/>
        <v>8</v>
      </c>
      <c r="B18" s="87"/>
      <c r="C18" s="596"/>
      <c r="D18" s="91"/>
      <c r="E18" s="564">
        <f t="shared" si="1"/>
        <v>8</v>
      </c>
    </row>
    <row r="19" spans="1:9">
      <c r="A19" s="563">
        <f t="shared" si="0"/>
        <v>9</v>
      </c>
      <c r="B19" s="848" t="s">
        <v>13</v>
      </c>
      <c r="C19" s="660">
        <v>91.594927477197942</v>
      </c>
      <c r="D19" s="658" t="s">
        <v>903</v>
      </c>
      <c r="E19" s="564">
        <f t="shared" si="1"/>
        <v>9</v>
      </c>
    </row>
    <row r="20" spans="1:9">
      <c r="A20" s="563">
        <f t="shared" si="0"/>
        <v>10</v>
      </c>
      <c r="B20" s="848"/>
      <c r="C20" s="596"/>
      <c r="D20" s="92"/>
      <c r="E20" s="564">
        <f t="shared" si="1"/>
        <v>10</v>
      </c>
    </row>
    <row r="21" spans="1:9">
      <c r="A21" s="563">
        <f t="shared" si="0"/>
        <v>11</v>
      </c>
      <c r="B21" s="848" t="s">
        <v>14</v>
      </c>
      <c r="C21" s="1091">
        <v>1.5414350816416671</v>
      </c>
      <c r="D21" s="94" t="s">
        <v>904</v>
      </c>
      <c r="E21" s="564">
        <f t="shared" si="1"/>
        <v>11</v>
      </c>
    </row>
    <row r="22" spans="1:9">
      <c r="A22" s="563">
        <f t="shared" si="0"/>
        <v>12</v>
      </c>
      <c r="B22" s="57"/>
      <c r="C22" s="829"/>
      <c r="D22" s="93"/>
      <c r="E22" s="564">
        <f t="shared" si="1"/>
        <v>12</v>
      </c>
    </row>
    <row r="23" spans="1:9">
      <c r="A23" s="563">
        <f t="shared" si="0"/>
        <v>13</v>
      </c>
      <c r="B23" s="57" t="s">
        <v>15</v>
      </c>
      <c r="C23" s="176">
        <f>C17+C19+C21+1</f>
        <v>966.92973552803846</v>
      </c>
      <c r="D23" s="94" t="str">
        <f>"Sum Lines "&amp;A17&amp;", "&amp;A19&amp;", "&amp;A21</f>
        <v>Sum Lines 7, 9, 11</v>
      </c>
      <c r="E23" s="564">
        <f t="shared" si="1"/>
        <v>13</v>
      </c>
      <c r="G23" s="702"/>
    </row>
    <row r="24" spans="1:9">
      <c r="A24" s="563">
        <f t="shared" si="0"/>
        <v>14</v>
      </c>
      <c r="B24" s="793"/>
      <c r="C24" s="178"/>
      <c r="D24" s="94"/>
      <c r="E24" s="564">
        <f t="shared" si="1"/>
        <v>14</v>
      </c>
      <c r="G24" s="702"/>
    </row>
    <row r="25" spans="1:9">
      <c r="A25" s="563">
        <f t="shared" si="0"/>
        <v>15</v>
      </c>
      <c r="B25" s="17" t="s">
        <v>16</v>
      </c>
      <c r="C25" s="1092">
        <v>25</v>
      </c>
      <c r="D25" s="94" t="s">
        <v>17</v>
      </c>
      <c r="E25" s="564">
        <f t="shared" si="1"/>
        <v>15</v>
      </c>
      <c r="G25" s="702"/>
    </row>
    <row r="26" spans="1:9">
      <c r="A26" s="563">
        <f t="shared" si="0"/>
        <v>16</v>
      </c>
      <c r="B26" s="63"/>
      <c r="C26" s="927"/>
      <c r="D26" s="93"/>
      <c r="E26" s="564">
        <f t="shared" si="1"/>
        <v>16</v>
      </c>
    </row>
    <row r="27" spans="1:9" ht="16.5" thickBot="1">
      <c r="A27" s="563">
        <f t="shared" si="0"/>
        <v>17</v>
      </c>
      <c r="B27" s="830" t="s">
        <v>18</v>
      </c>
      <c r="C27" s="598">
        <f>C23+C25</f>
        <v>991.92973552803846</v>
      </c>
      <c r="D27" s="93" t="str">
        <f>"Line "&amp;A23&amp;" + Line "&amp;A25</f>
        <v>Line 13 + Line 15</v>
      </c>
      <c r="E27" s="564">
        <f t="shared" si="1"/>
        <v>17</v>
      </c>
      <c r="H27" s="701"/>
      <c r="I27" s="703"/>
    </row>
    <row r="28" spans="1:9" ht="17.25" thickTop="1" thickBot="1">
      <c r="A28" s="563">
        <f t="shared" si="0"/>
        <v>18</v>
      </c>
      <c r="B28" s="928"/>
      <c r="C28" s="928"/>
      <c r="D28" s="96"/>
      <c r="E28" s="564">
        <f t="shared" si="1"/>
        <v>18</v>
      </c>
    </row>
    <row r="30" spans="1:9" ht="16.5" thickBot="1">
      <c r="A30" s="1210"/>
      <c r="B30" s="385"/>
      <c r="C30" s="930"/>
      <c r="D30" s="930"/>
      <c r="E30" s="1210"/>
    </row>
    <row r="31" spans="1:9">
      <c r="A31" s="563" t="s">
        <v>4</v>
      </c>
      <c r="B31" s="55"/>
      <c r="C31" s="55"/>
      <c r="D31" s="86"/>
      <c r="E31" s="564" t="s">
        <v>4</v>
      </c>
    </row>
    <row r="32" spans="1:9">
      <c r="A32" s="563" t="s">
        <v>5</v>
      </c>
      <c r="B32" s="952" t="s">
        <v>19</v>
      </c>
      <c r="C32" s="952" t="str">
        <f>C9</f>
        <v>Amounts</v>
      </c>
      <c r="D32" s="953" t="str">
        <f>D9</f>
        <v>Reference</v>
      </c>
      <c r="E32" s="564" t="s">
        <v>5</v>
      </c>
    </row>
    <row r="33" spans="1:5">
      <c r="A33" s="563">
        <f>A28+1</f>
        <v>19</v>
      </c>
      <c r="B33" s="54"/>
      <c r="C33" s="56"/>
      <c r="D33" s="88"/>
      <c r="E33" s="564">
        <f>E28+1</f>
        <v>19</v>
      </c>
    </row>
    <row r="34" spans="1:5">
      <c r="A34" s="563">
        <f>A33+1</f>
        <v>20</v>
      </c>
      <c r="B34" s="848" t="str">
        <f>B11</f>
        <v>Section 1 - Direct Maintenance Expense Cost Component</v>
      </c>
      <c r="C34" s="846">
        <f>C11/12</f>
        <v>0</v>
      </c>
      <c r="D34" s="89" t="str">
        <f>"Line "&amp;A11&amp;" / "&amp;C50&amp;" Months"</f>
        <v>Line 1 / 12 Months</v>
      </c>
      <c r="E34" s="564">
        <f>E33+1</f>
        <v>20</v>
      </c>
    </row>
    <row r="35" spans="1:5">
      <c r="A35" s="563">
        <f t="shared" ref="A35:A53" si="2">A34+1</f>
        <v>21</v>
      </c>
      <c r="B35" s="704"/>
      <c r="C35" s="25"/>
      <c r="D35" s="85"/>
      <c r="E35" s="564">
        <f t="shared" ref="E35:E53" si="3">E34+1</f>
        <v>21</v>
      </c>
    </row>
    <row r="36" spans="1:5">
      <c r="A36" s="563">
        <f t="shared" si="2"/>
        <v>22</v>
      </c>
      <c r="B36" s="848" t="str">
        <f>B13</f>
        <v>Section 2 - Non-Direct Expense Cost Component</v>
      </c>
      <c r="C36" s="847">
        <f>C13/12</f>
        <v>75.72978862590189</v>
      </c>
      <c r="D36" s="89" t="str">
        <f>"Line "&amp;A13&amp;" / "&amp;C50&amp;" Months"</f>
        <v>Line 3 / 12 Months</v>
      </c>
      <c r="E36" s="564">
        <f t="shared" si="3"/>
        <v>22</v>
      </c>
    </row>
    <row r="37" spans="1:5">
      <c r="A37" s="563">
        <f t="shared" si="2"/>
        <v>23</v>
      </c>
      <c r="B37" s="704"/>
      <c r="C37" s="797"/>
      <c r="D37" s="97"/>
      <c r="E37" s="564">
        <f t="shared" si="3"/>
        <v>23</v>
      </c>
    </row>
    <row r="38" spans="1:5">
      <c r="A38" s="563">
        <f t="shared" si="2"/>
        <v>24</v>
      </c>
      <c r="B38" s="848" t="str">
        <f>B15</f>
        <v>Section 3 - Cost Component Containing Other Specific Expenses</v>
      </c>
      <c r="C38" s="1093">
        <f>C15/12</f>
        <v>-2.9970075451353182</v>
      </c>
      <c r="D38" s="89" t="str">
        <f>"Line "&amp;A15&amp;" / "&amp;C50&amp;" Months"</f>
        <v>Line 5 / 12 Months</v>
      </c>
      <c r="E38" s="564">
        <f t="shared" si="3"/>
        <v>24</v>
      </c>
    </row>
    <row r="39" spans="1:5">
      <c r="A39" s="563">
        <f t="shared" si="2"/>
        <v>25</v>
      </c>
      <c r="B39" s="87"/>
      <c r="C39" s="796"/>
      <c r="D39" s="89"/>
      <c r="E39" s="564">
        <f t="shared" si="3"/>
        <v>25</v>
      </c>
    </row>
    <row r="40" spans="1:5">
      <c r="A40" s="563">
        <f t="shared" si="2"/>
        <v>26</v>
      </c>
      <c r="B40" s="830" t="s">
        <v>20</v>
      </c>
      <c r="C40" s="900">
        <f>C34+C36+C38</f>
        <v>72.732781080766571</v>
      </c>
      <c r="D40" s="94" t="str">
        <f>"Sum Lines "&amp;A34&amp;", "&amp;A36&amp;", "&amp;A38</f>
        <v>Sum Lines 20, 22, 24</v>
      </c>
      <c r="E40" s="564">
        <f t="shared" si="3"/>
        <v>26</v>
      </c>
    </row>
    <row r="41" spans="1:5">
      <c r="A41" s="563">
        <f t="shared" si="2"/>
        <v>27</v>
      </c>
      <c r="B41" s="54"/>
      <c r="C41" s="797"/>
      <c r="D41" s="90"/>
      <c r="E41" s="564">
        <f t="shared" si="3"/>
        <v>27</v>
      </c>
    </row>
    <row r="42" spans="1:5">
      <c r="A42" s="563">
        <f t="shared" si="2"/>
        <v>28</v>
      </c>
      <c r="B42" s="848" t="str">
        <f>LEFT(B19,45)</f>
        <v>Section 4 - True-Up Adjustment Cost Component</v>
      </c>
      <c r="C42" s="847">
        <f>C19/12</f>
        <v>7.6329106230998285</v>
      </c>
      <c r="D42" s="89" t="str">
        <f>"Line "&amp;A19&amp;" / "&amp;C50&amp;" Months"</f>
        <v>Line 9 / 12 Months</v>
      </c>
      <c r="E42" s="564">
        <f t="shared" si="3"/>
        <v>28</v>
      </c>
    </row>
    <row r="43" spans="1:5">
      <c r="A43" s="563">
        <f t="shared" si="2"/>
        <v>29</v>
      </c>
      <c r="B43" s="848"/>
      <c r="C43" s="797"/>
      <c r="D43" s="98"/>
      <c r="E43" s="564">
        <f t="shared" si="3"/>
        <v>29</v>
      </c>
    </row>
    <row r="44" spans="1:5">
      <c r="A44" s="563">
        <f t="shared" si="2"/>
        <v>30</v>
      </c>
      <c r="B44" s="848" t="str">
        <f>B21</f>
        <v>Section 5 - Interest True-Up Adjustment Cost Component</v>
      </c>
      <c r="C44" s="847">
        <f>C21/12</f>
        <v>0.12845292347013892</v>
      </c>
      <c r="D44" s="93" t="str">
        <f>"Line "&amp;A21&amp;" / "&amp;C50&amp;" Months"</f>
        <v>Line 11 / 12 Months</v>
      </c>
      <c r="E44" s="564">
        <f t="shared" si="3"/>
        <v>30</v>
      </c>
    </row>
    <row r="45" spans="1:5">
      <c r="A45" s="563">
        <f t="shared" si="2"/>
        <v>31</v>
      </c>
      <c r="B45" s="87"/>
      <c r="C45" s="798"/>
      <c r="D45" s="95"/>
      <c r="E45" s="564">
        <f t="shared" si="3"/>
        <v>31</v>
      </c>
    </row>
    <row r="46" spans="1:5">
      <c r="A46" s="563">
        <f t="shared" si="2"/>
        <v>32</v>
      </c>
      <c r="B46" s="17" t="str">
        <f>B25</f>
        <v>Other Adjustments</v>
      </c>
      <c r="C46" s="1093">
        <f>C25/12</f>
        <v>2.0833333333333335</v>
      </c>
      <c r="D46" s="93" t="str">
        <f>"Line "&amp;A25&amp;" / "&amp;C50&amp;" Months"</f>
        <v>Line 15 / 12 Months</v>
      </c>
      <c r="E46" s="564">
        <f t="shared" si="3"/>
        <v>32</v>
      </c>
    </row>
    <row r="47" spans="1:5">
      <c r="A47" s="563">
        <f t="shared" si="2"/>
        <v>33</v>
      </c>
      <c r="B47" s="57"/>
      <c r="C47" s="798"/>
      <c r="D47" s="794"/>
      <c r="E47" s="564">
        <f t="shared" si="3"/>
        <v>33</v>
      </c>
    </row>
    <row r="48" spans="1:5" ht="16.5" thickBot="1">
      <c r="A48" s="563">
        <f t="shared" si="2"/>
        <v>34</v>
      </c>
      <c r="B48" s="57" t="s">
        <v>21</v>
      </c>
      <c r="C48" s="849">
        <f>C27/12</f>
        <v>82.66081129400321</v>
      </c>
      <c r="D48" s="94" t="str">
        <f>"Sum Lines "&amp;A40&amp;", "&amp;A42&amp;", "&amp;A44&amp;", "&amp;A46</f>
        <v>Sum Lines 26, 28, 30, 32</v>
      </c>
      <c r="E48" s="564">
        <f t="shared" si="3"/>
        <v>34</v>
      </c>
    </row>
    <row r="49" spans="1:5" ht="16.5" thickTop="1">
      <c r="A49" s="563">
        <f t="shared" si="2"/>
        <v>35</v>
      </c>
      <c r="B49" s="54"/>
      <c r="C49" s="931"/>
      <c r="D49" s="99"/>
      <c r="E49" s="564">
        <f t="shared" si="3"/>
        <v>35</v>
      </c>
    </row>
    <row r="50" spans="1:5">
      <c r="A50" s="563">
        <f t="shared" si="2"/>
        <v>36</v>
      </c>
      <c r="B50" s="704" t="s">
        <v>22</v>
      </c>
      <c r="C50" s="1094">
        <v>12</v>
      </c>
      <c r="D50" s="99"/>
      <c r="E50" s="564">
        <f t="shared" si="3"/>
        <v>36</v>
      </c>
    </row>
    <row r="51" spans="1:5">
      <c r="A51" s="563">
        <f t="shared" si="2"/>
        <v>37</v>
      </c>
      <c r="B51" s="54"/>
      <c r="C51" s="931"/>
      <c r="D51" s="100"/>
      <c r="E51" s="564">
        <f t="shared" si="3"/>
        <v>37</v>
      </c>
    </row>
    <row r="52" spans="1:5" ht="16.5" thickBot="1">
      <c r="A52" s="563">
        <f t="shared" si="2"/>
        <v>38</v>
      </c>
      <c r="B52" s="830" t="str">
        <f>B27</f>
        <v>Total Annual Costs</v>
      </c>
      <c r="C52" s="593">
        <f>C48*C50</f>
        <v>991.92973552803846</v>
      </c>
      <c r="D52" s="93" t="str">
        <f>"Line "&amp;A48&amp;" x Line "&amp;A50</f>
        <v>Line 34 x Line 36</v>
      </c>
      <c r="E52" s="564">
        <f t="shared" si="3"/>
        <v>38</v>
      </c>
    </row>
    <row r="53" spans="1:5" ht="17.25" thickTop="1" thickBot="1">
      <c r="A53" s="563">
        <f t="shared" si="2"/>
        <v>39</v>
      </c>
      <c r="B53" s="932"/>
      <c r="C53" s="24"/>
      <c r="D53" s="101"/>
      <c r="E53" s="564">
        <f t="shared" si="3"/>
        <v>39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25" right="0.25" top="0.5" bottom="0.5" header="0.25" footer="0.25"/>
  <pageSetup scale="69" orientation="portrait" horizontalDpi="200" verticalDpi="200" r:id="rId1"/>
  <headerFooter scaleWithDoc="0">
    <oddFooter>&amp;C&amp;"Times New Roman,Regular"&amp;10Section 4 
Cycle 6 Invoice Summary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6"/>
  <sheetViews>
    <sheetView zoomScale="80" zoomScaleNormal="80" zoomScaleSheetLayoutView="70" workbookViewId="0">
      <selection activeCell="E23" sqref="E23"/>
    </sheetView>
  </sheetViews>
  <sheetFormatPr defaultColWidth="9.140625" defaultRowHeight="15.75"/>
  <cols>
    <col min="1" max="1" width="5.140625" style="247" customWidth="1"/>
    <col min="2" max="3" width="19.5703125" style="216" customWidth="1"/>
    <col min="4" max="5" width="20.5703125" style="216" customWidth="1"/>
    <col min="6" max="6" width="35.5703125" style="216" customWidth="1"/>
    <col min="7" max="7" width="20.5703125" style="216" customWidth="1"/>
    <col min="8" max="8" width="35.140625" style="216" customWidth="1"/>
    <col min="9" max="9" width="5.140625" style="247" customWidth="1"/>
    <col min="10" max="10" width="8.5703125" style="216" customWidth="1"/>
    <col min="11" max="11" width="9" style="216" customWidth="1"/>
    <col min="12" max="12" width="14" style="216" customWidth="1"/>
    <col min="13" max="13" width="13.140625" style="216" customWidth="1"/>
    <col min="14" max="14" width="12.5703125" style="216" customWidth="1"/>
    <col min="15" max="15" width="13.5703125" style="216" customWidth="1"/>
    <col min="16" max="16" width="12.5703125" style="216" customWidth="1"/>
    <col min="17" max="16384" width="9.140625" style="216"/>
  </cols>
  <sheetData>
    <row r="1" spans="1:13">
      <c r="M1" s="722"/>
    </row>
    <row r="2" spans="1:13">
      <c r="B2" s="1281" t="str">
        <f>'Summary of Cost Components'!B2:D2</f>
        <v>SAN DIEGO GAS &amp; ELECTRIC COMPANY</v>
      </c>
      <c r="C2" s="1281"/>
      <c r="D2" s="1281"/>
      <c r="E2" s="1281"/>
      <c r="F2" s="1281"/>
      <c r="G2" s="1281"/>
      <c r="H2" s="1281"/>
      <c r="M2" s="722"/>
    </row>
    <row r="3" spans="1:13">
      <c r="B3" s="1281" t="str">
        <f>'Summary of Cost Components'!B3:D3</f>
        <v>CITIZENS' SHARE OF THE SX-PQ UNDERGROUND LINE SEGMENT</v>
      </c>
      <c r="C3" s="1281"/>
      <c r="D3" s="1281"/>
      <c r="E3" s="1281"/>
      <c r="F3" s="1281"/>
      <c r="G3" s="1281"/>
      <c r="H3" s="1281"/>
      <c r="I3" s="551"/>
      <c r="J3" s="551"/>
      <c r="M3" s="722"/>
    </row>
    <row r="4" spans="1:13">
      <c r="B4" s="1282" t="str">
        <f>"Derivation of Interest on the 12-Month True-Up Adjustment Applicable to Citizens Cycle "&amp;Automation!B2-1</f>
        <v>Derivation of Interest on the 12-Month True-Up Adjustment Applicable to Citizens Cycle 7</v>
      </c>
      <c r="C4" s="1282"/>
      <c r="D4" s="1282"/>
      <c r="E4" s="1282"/>
      <c r="F4" s="1282"/>
      <c r="G4" s="1282"/>
      <c r="H4" s="1282"/>
      <c r="I4" s="551"/>
      <c r="J4" s="551"/>
      <c r="M4" s="722"/>
    </row>
    <row r="5" spans="1:13">
      <c r="B5" s="1283" t="str">
        <f>'D. Sec.4 - TU'!B5:N5</f>
        <v>True-Up Period - January 1, 2024 to December 31, 2024</v>
      </c>
      <c r="C5" s="1283"/>
      <c r="D5" s="1283"/>
      <c r="E5" s="1283"/>
      <c r="F5" s="1283"/>
      <c r="G5" s="1283"/>
      <c r="H5" s="1283"/>
      <c r="I5" s="551"/>
      <c r="J5" s="551"/>
      <c r="M5" s="722"/>
    </row>
    <row r="6" spans="1:13">
      <c r="B6" s="1279" t="s">
        <v>3</v>
      </c>
      <c r="C6" s="1279"/>
      <c r="D6" s="1279"/>
      <c r="E6" s="1279"/>
      <c r="F6" s="1279"/>
      <c r="G6" s="1279"/>
      <c r="H6" s="1279"/>
      <c r="I6" s="551"/>
      <c r="J6" s="551"/>
    </row>
    <row r="7" spans="1:13">
      <c r="A7" s="551"/>
      <c r="B7" s="551"/>
      <c r="C7" s="551"/>
      <c r="D7" s="551"/>
      <c r="E7" s="551"/>
      <c r="F7" s="551"/>
      <c r="G7" s="551"/>
      <c r="H7" s="551"/>
      <c r="I7" s="551"/>
      <c r="J7" s="551"/>
    </row>
    <row r="8" spans="1:13">
      <c r="A8" s="247" t="s">
        <v>4</v>
      </c>
      <c r="B8" s="551"/>
      <c r="C8" s="551"/>
      <c r="D8" s="551"/>
      <c r="E8" s="551"/>
      <c r="F8" s="551"/>
      <c r="G8" s="551"/>
      <c r="H8" s="551"/>
      <c r="I8" s="247" t="s">
        <v>4</v>
      </c>
      <c r="J8" s="551"/>
    </row>
    <row r="9" spans="1:13">
      <c r="A9" s="247" t="s">
        <v>5</v>
      </c>
      <c r="E9" s="712"/>
      <c r="I9" s="247" t="s">
        <v>5</v>
      </c>
      <c r="J9" s="481"/>
    </row>
    <row r="10" spans="1:13">
      <c r="A10" s="481"/>
      <c r="E10" s="712"/>
      <c r="I10" s="481"/>
      <c r="J10" s="481"/>
    </row>
    <row r="11" spans="1:13">
      <c r="A11" s="247">
        <v>1</v>
      </c>
      <c r="C11" s="668" t="s">
        <v>101</v>
      </c>
      <c r="D11" s="668" t="s">
        <v>102</v>
      </c>
      <c r="E11" s="668" t="s">
        <v>103</v>
      </c>
      <c r="F11" s="668" t="s">
        <v>104</v>
      </c>
      <c r="G11" s="668" t="s">
        <v>105</v>
      </c>
      <c r="H11" s="668" t="s">
        <v>106</v>
      </c>
      <c r="I11" s="247">
        <f>A11</f>
        <v>1</v>
      </c>
      <c r="J11" s="247"/>
    </row>
    <row r="12" spans="1:13">
      <c r="A12" s="247">
        <f>A11+1</f>
        <v>2</v>
      </c>
      <c r="B12" s="420" t="s">
        <v>112</v>
      </c>
      <c r="C12" s="668"/>
      <c r="D12" s="247"/>
      <c r="E12" s="247" t="str">
        <f>"See Footnote "&amp;A33</f>
        <v>See Footnote 2</v>
      </c>
      <c r="F12" s="247" t="str">
        <f>"See Footnote "&amp;A34</f>
        <v>See Footnote 3</v>
      </c>
      <c r="G12" s="412" t="str">
        <f>"See Footnote "&amp;A35</f>
        <v>See Footnote 4</v>
      </c>
      <c r="H12" s="412" t="str">
        <f>"= "&amp;F11&amp;" + "&amp;G11</f>
        <v>= Col. 4 + Col. 5</v>
      </c>
      <c r="I12" s="247">
        <f>I11+1</f>
        <v>2</v>
      </c>
      <c r="J12" s="247"/>
    </row>
    <row r="13" spans="1:13">
      <c r="A13" s="247">
        <f t="shared" ref="A13:A29" si="0">A12+1</f>
        <v>3</v>
      </c>
      <c r="C13" s="668"/>
      <c r="D13" s="668"/>
      <c r="E13" s="668"/>
      <c r="F13" s="551"/>
      <c r="G13" s="668"/>
      <c r="H13" s="668"/>
      <c r="I13" s="247">
        <f t="shared" ref="I13:I29" si="1">I12+1</f>
        <v>3</v>
      </c>
      <c r="J13" s="247"/>
    </row>
    <row r="14" spans="1:13">
      <c r="A14" s="247">
        <f t="shared" si="0"/>
        <v>4</v>
      </c>
      <c r="C14" s="551"/>
      <c r="D14" s="551" t="s">
        <v>153</v>
      </c>
      <c r="E14" s="551" t="s">
        <v>114</v>
      </c>
      <c r="F14" s="551" t="s">
        <v>154</v>
      </c>
      <c r="H14" s="551" t="s">
        <v>154</v>
      </c>
      <c r="I14" s="247">
        <f t="shared" si="1"/>
        <v>4</v>
      </c>
      <c r="J14" s="247"/>
    </row>
    <row r="15" spans="1:13">
      <c r="A15" s="247">
        <f t="shared" si="0"/>
        <v>5</v>
      </c>
      <c r="C15" s="551"/>
      <c r="D15" s="551" t="s">
        <v>155</v>
      </c>
      <c r="E15" s="551" t="s">
        <v>121</v>
      </c>
      <c r="F15" s="551" t="s">
        <v>156</v>
      </c>
      <c r="G15" s="551"/>
      <c r="H15" s="551" t="s">
        <v>156</v>
      </c>
      <c r="I15" s="247">
        <f t="shared" si="1"/>
        <v>5</v>
      </c>
      <c r="J15" s="247"/>
    </row>
    <row r="16" spans="1:13" ht="18.75">
      <c r="A16" s="247">
        <f t="shared" si="0"/>
        <v>6</v>
      </c>
      <c r="B16" s="669" t="s">
        <v>123</v>
      </c>
      <c r="C16" s="669" t="s">
        <v>124</v>
      </c>
      <c r="D16" s="500" t="s">
        <v>157</v>
      </c>
      <c r="E16" s="500" t="s">
        <v>83</v>
      </c>
      <c r="F16" s="500" t="s">
        <v>131</v>
      </c>
      <c r="G16" s="500" t="s">
        <v>121</v>
      </c>
      <c r="H16" s="500" t="s">
        <v>132</v>
      </c>
      <c r="I16" s="247">
        <f t="shared" si="1"/>
        <v>6</v>
      </c>
      <c r="J16" s="247"/>
    </row>
    <row r="17" spans="1:11">
      <c r="A17" s="247">
        <f t="shared" si="0"/>
        <v>7</v>
      </c>
      <c r="B17" s="18" t="s">
        <v>133</v>
      </c>
      <c r="C17" s="671" t="str">
        <f>RIGHT(B5,4)</f>
        <v>2024</v>
      </c>
      <c r="D17" s="856">
        <f>'D1. Sec.4 - C7 Invoice Summary'!$C$19</f>
        <v>12.262473937705261</v>
      </c>
      <c r="E17" s="726">
        <f>'D. Sec.4 - TU'!J19</f>
        <v>7.1999999999999998E-3</v>
      </c>
      <c r="F17" s="508">
        <f>D17</f>
        <v>12.262473937705261</v>
      </c>
      <c r="G17" s="1215">
        <f>(F17*E17)</f>
        <v>8.828981235147787E-2</v>
      </c>
      <c r="H17" s="508">
        <f>F17+G17</f>
        <v>12.350763750056739</v>
      </c>
      <c r="I17" s="247">
        <f t="shared" si="1"/>
        <v>7</v>
      </c>
      <c r="J17" s="247"/>
      <c r="K17" s="1219"/>
    </row>
    <row r="18" spans="1:11">
      <c r="A18" s="247">
        <f t="shared" si="0"/>
        <v>8</v>
      </c>
      <c r="B18" s="18" t="s">
        <v>134</v>
      </c>
      <c r="C18" s="671" t="str">
        <f>$C$17</f>
        <v>2024</v>
      </c>
      <c r="D18" s="678"/>
      <c r="E18" s="726">
        <f>'D. Sec.4 - TU'!J20</f>
        <v>6.7999999999999996E-3</v>
      </c>
      <c r="F18" s="715">
        <f t="shared" ref="F18:F22" si="2">H17</f>
        <v>12.350763750056739</v>
      </c>
      <c r="G18" s="1220">
        <f t="shared" ref="G18:G21" si="3">((H17+F18)/2)*E18</f>
        <v>8.3985193500385816E-2</v>
      </c>
      <c r="H18" s="715">
        <f t="shared" ref="H18:H23" si="4">F18+G18</f>
        <v>12.434748943557125</v>
      </c>
      <c r="I18" s="247">
        <f t="shared" si="1"/>
        <v>8</v>
      </c>
      <c r="J18" s="247"/>
      <c r="K18" s="1219"/>
    </row>
    <row r="19" spans="1:11">
      <c r="A19" s="247">
        <f t="shared" si="0"/>
        <v>9</v>
      </c>
      <c r="B19" s="18" t="s">
        <v>158</v>
      </c>
      <c r="C19" s="671" t="str">
        <f t="shared" ref="C19:C28" si="5">$C$17</f>
        <v>2024</v>
      </c>
      <c r="D19" s="678"/>
      <c r="E19" s="726">
        <f>'D. Sec.4 - TU'!J21</f>
        <v>7.1999999999999998E-3</v>
      </c>
      <c r="F19" s="715">
        <f t="shared" si="2"/>
        <v>12.434748943557125</v>
      </c>
      <c r="G19" s="1220">
        <f t="shared" si="3"/>
        <v>8.9530192393611291E-2</v>
      </c>
      <c r="H19" s="715">
        <f t="shared" si="4"/>
        <v>12.524279135950737</v>
      </c>
      <c r="I19" s="247">
        <f t="shared" si="1"/>
        <v>9</v>
      </c>
      <c r="J19" s="247"/>
      <c r="K19" s="1219"/>
    </row>
    <row r="20" spans="1:11">
      <c r="A20" s="247">
        <f t="shared" si="0"/>
        <v>10</v>
      </c>
      <c r="B20" s="18" t="s">
        <v>159</v>
      </c>
      <c r="C20" s="671" t="str">
        <f t="shared" si="5"/>
        <v>2024</v>
      </c>
      <c r="D20" s="678"/>
      <c r="E20" s="726">
        <f>'D. Sec.4 - TU'!J22</f>
        <v>7.0000000000000001E-3</v>
      </c>
      <c r="F20" s="715">
        <f t="shared" si="2"/>
        <v>12.524279135950737</v>
      </c>
      <c r="G20" s="1220">
        <f>((H19+F20)/2)*E20</f>
        <v>8.7669953951655166E-2</v>
      </c>
      <c r="H20" s="715">
        <f t="shared" si="4"/>
        <v>12.611949089902392</v>
      </c>
      <c r="I20" s="247">
        <f t="shared" si="1"/>
        <v>10</v>
      </c>
      <c r="J20" s="247"/>
      <c r="K20" s="1219"/>
    </row>
    <row r="21" spans="1:11">
      <c r="A21" s="247">
        <f t="shared" si="0"/>
        <v>11</v>
      </c>
      <c r="B21" s="18" t="s">
        <v>160</v>
      </c>
      <c r="C21" s="671" t="str">
        <f t="shared" si="5"/>
        <v>2024</v>
      </c>
      <c r="D21" s="678"/>
      <c r="E21" s="726">
        <f>'D. Sec.4 - TU'!J23</f>
        <v>7.1999999999999998E-3</v>
      </c>
      <c r="F21" s="715">
        <f t="shared" si="2"/>
        <v>12.611949089902392</v>
      </c>
      <c r="G21" s="1220">
        <f t="shared" si="3"/>
        <v>9.0806033447297221E-2</v>
      </c>
      <c r="H21" s="715">
        <f t="shared" si="4"/>
        <v>12.702755123349689</v>
      </c>
      <c r="I21" s="247">
        <f t="shared" si="1"/>
        <v>11</v>
      </c>
      <c r="J21" s="247"/>
      <c r="K21" s="1219"/>
    </row>
    <row r="22" spans="1:11">
      <c r="A22" s="247">
        <f t="shared" si="0"/>
        <v>12</v>
      </c>
      <c r="B22" s="18" t="s">
        <v>161</v>
      </c>
      <c r="C22" s="671" t="str">
        <f t="shared" si="5"/>
        <v>2024</v>
      </c>
      <c r="D22" s="672"/>
      <c r="E22" s="726">
        <f>'D. Sec.4 - TU'!J24</f>
        <v>7.0000000000000001E-3</v>
      </c>
      <c r="F22" s="715">
        <f t="shared" si="2"/>
        <v>12.702755123349689</v>
      </c>
      <c r="G22" s="1220">
        <f>((H21+F22)/2)*E22</f>
        <v>8.8919285863447828E-2</v>
      </c>
      <c r="H22" s="715">
        <f t="shared" si="4"/>
        <v>12.791674409213137</v>
      </c>
      <c r="I22" s="247">
        <f t="shared" si="1"/>
        <v>12</v>
      </c>
      <c r="J22" s="247"/>
      <c r="K22" s="1219"/>
    </row>
    <row r="23" spans="1:11">
      <c r="A23" s="247">
        <f t="shared" si="0"/>
        <v>13</v>
      </c>
      <c r="B23" s="18" t="s">
        <v>162</v>
      </c>
      <c r="C23" s="671" t="str">
        <f t="shared" si="5"/>
        <v>2024</v>
      </c>
      <c r="D23" s="678"/>
      <c r="E23" s="726">
        <f>'D. Sec.4 - TU'!J25</f>
        <v>7.1999999999999998E-3</v>
      </c>
      <c r="F23" s="715">
        <f t="shared" ref="F23:F28" si="6">H22</f>
        <v>12.791674409213137</v>
      </c>
      <c r="G23" s="1220">
        <f t="shared" ref="G23:G28" si="7">((H22+F23)/2)*E23</f>
        <v>9.2100055746334578E-2</v>
      </c>
      <c r="H23" s="715">
        <f t="shared" si="4"/>
        <v>12.883774464959471</v>
      </c>
      <c r="I23" s="247">
        <f t="shared" si="1"/>
        <v>13</v>
      </c>
      <c r="J23" s="247"/>
      <c r="K23" s="1219"/>
    </row>
    <row r="24" spans="1:11">
      <c r="A24" s="247">
        <f t="shared" si="0"/>
        <v>14</v>
      </c>
      <c r="B24" s="18" t="s">
        <v>163</v>
      </c>
      <c r="C24" s="671" t="str">
        <f t="shared" si="5"/>
        <v>2024</v>
      </c>
      <c r="D24" s="678"/>
      <c r="E24" s="726">
        <f>'D. Sec.4 - TU'!J26</f>
        <v>7.1999999999999998E-3</v>
      </c>
      <c r="F24" s="715">
        <f t="shared" si="6"/>
        <v>12.883774464959471</v>
      </c>
      <c r="G24" s="1220">
        <f t="shared" si="7"/>
        <v>9.2763176147708182E-2</v>
      </c>
      <c r="H24" s="715">
        <f t="shared" ref="H24:H28" si="8">F24+G24</f>
        <v>12.976537641107178</v>
      </c>
      <c r="I24" s="247">
        <f t="shared" si="1"/>
        <v>14</v>
      </c>
      <c r="J24" s="247"/>
      <c r="K24" s="1219"/>
    </row>
    <row r="25" spans="1:11">
      <c r="A25" s="247">
        <f t="shared" si="0"/>
        <v>15</v>
      </c>
      <c r="B25" s="18" t="s">
        <v>164</v>
      </c>
      <c r="C25" s="671" t="str">
        <f t="shared" si="5"/>
        <v>2024</v>
      </c>
      <c r="D25" s="678"/>
      <c r="E25" s="726">
        <f>'D. Sec.4 - TU'!J27</f>
        <v>7.0000000000000001E-3</v>
      </c>
      <c r="F25" s="715">
        <f t="shared" si="6"/>
        <v>12.976537641107178</v>
      </c>
      <c r="G25" s="1220">
        <f t="shared" si="7"/>
        <v>9.0835763487750257E-2</v>
      </c>
      <c r="H25" s="715">
        <f t="shared" si="8"/>
        <v>13.067373404594928</v>
      </c>
      <c r="I25" s="247">
        <f t="shared" si="1"/>
        <v>15</v>
      </c>
      <c r="J25" s="247"/>
      <c r="K25" s="1219"/>
    </row>
    <row r="26" spans="1:11">
      <c r="A26" s="247">
        <f t="shared" si="0"/>
        <v>16</v>
      </c>
      <c r="B26" s="18" t="s">
        <v>165</v>
      </c>
      <c r="C26" s="671" t="str">
        <f t="shared" si="5"/>
        <v>2024</v>
      </c>
      <c r="D26" s="678"/>
      <c r="E26" s="726">
        <f>'D. Sec.4 - TU'!J28</f>
        <v>7.1999999999999998E-3</v>
      </c>
      <c r="F26" s="715">
        <f t="shared" si="6"/>
        <v>13.067373404594928</v>
      </c>
      <c r="G26" s="1220">
        <f t="shared" si="7"/>
        <v>9.4085088513083476E-2</v>
      </c>
      <c r="H26" s="715">
        <f t="shared" si="8"/>
        <v>13.161458493108011</v>
      </c>
      <c r="I26" s="247">
        <f t="shared" si="1"/>
        <v>16</v>
      </c>
      <c r="J26" s="247"/>
      <c r="K26" s="1219"/>
    </row>
    <row r="27" spans="1:11">
      <c r="A27" s="247">
        <f t="shared" si="0"/>
        <v>17</v>
      </c>
      <c r="B27" s="18" t="s">
        <v>166</v>
      </c>
      <c r="C27" s="671" t="str">
        <f t="shared" si="5"/>
        <v>2024</v>
      </c>
      <c r="D27" s="678"/>
      <c r="E27" s="726">
        <f>'D. Sec.4 - TU'!J29</f>
        <v>7.0000000000000001E-3</v>
      </c>
      <c r="F27" s="715">
        <f t="shared" si="6"/>
        <v>13.161458493108011</v>
      </c>
      <c r="G27" s="1220">
        <f t="shared" si="7"/>
        <v>9.2130209451756082E-2</v>
      </c>
      <c r="H27" s="715">
        <f t="shared" si="8"/>
        <v>13.253588702559767</v>
      </c>
      <c r="I27" s="247">
        <f t="shared" si="1"/>
        <v>17</v>
      </c>
      <c r="J27" s="247"/>
      <c r="K27" s="1219"/>
    </row>
    <row r="28" spans="1:11">
      <c r="A28" s="247">
        <f t="shared" si="0"/>
        <v>18</v>
      </c>
      <c r="B28" s="947" t="s">
        <v>167</v>
      </c>
      <c r="C28" s="948" t="str">
        <f t="shared" si="5"/>
        <v>2024</v>
      </c>
      <c r="D28" s="1098"/>
      <c r="E28" s="1099">
        <f>'D. Sec.4 - TU'!J30</f>
        <v>7.1999999999999998E-3</v>
      </c>
      <c r="F28" s="949">
        <f t="shared" si="6"/>
        <v>13.253588702559767</v>
      </c>
      <c r="G28" s="1221">
        <f t="shared" si="7"/>
        <v>9.5425838658430323E-2</v>
      </c>
      <c r="H28" s="949">
        <f t="shared" si="8"/>
        <v>13.349014541218198</v>
      </c>
      <c r="I28" s="247">
        <f t="shared" si="1"/>
        <v>18</v>
      </c>
      <c r="J28" s="1207"/>
      <c r="K28" s="1219"/>
    </row>
    <row r="29" spans="1:11" ht="16.5" thickBot="1">
      <c r="A29" s="247">
        <f t="shared" si="0"/>
        <v>19</v>
      </c>
      <c r="B29" s="18"/>
      <c r="C29" s="671"/>
      <c r="D29" s="678"/>
      <c r="E29" s="492"/>
      <c r="F29" s="727"/>
      <c r="G29" s="1206">
        <f>SUM(G17:G28)</f>
        <v>1.0865406035129381</v>
      </c>
      <c r="H29" s="727"/>
      <c r="I29" s="247">
        <f t="shared" si="1"/>
        <v>19</v>
      </c>
      <c r="J29" s="247"/>
      <c r="K29" s="1219"/>
    </row>
    <row r="30" spans="1:11" ht="16.5" thickTop="1">
      <c r="B30" s="18"/>
      <c r="C30" s="671"/>
      <c r="D30" s="678"/>
      <c r="E30" s="492"/>
      <c r="F30" s="727"/>
      <c r="G30" s="727"/>
      <c r="H30" s="727"/>
      <c r="J30" s="247"/>
    </row>
    <row r="31" spans="1:11">
      <c r="B31" s="18"/>
      <c r="C31" s="671"/>
      <c r="D31" s="728"/>
      <c r="E31" s="678"/>
      <c r="F31" s="712"/>
      <c r="G31" s="492"/>
      <c r="H31" s="678"/>
      <c r="I31" s="729"/>
      <c r="J31" s="678"/>
    </row>
    <row r="32" spans="1:11" ht="18.75">
      <c r="A32" s="677">
        <v>1</v>
      </c>
      <c r="B32" s="18" t="s">
        <v>168</v>
      </c>
      <c r="C32" s="671"/>
      <c r="D32" s="728"/>
      <c r="E32" s="678"/>
      <c r="F32" s="712"/>
      <c r="G32" s="492"/>
      <c r="H32" s="678"/>
      <c r="I32" s="729"/>
      <c r="J32" s="678"/>
    </row>
    <row r="33" spans="1:10" ht="18.75">
      <c r="A33" s="477">
        <v>2</v>
      </c>
      <c r="B33" s="18" t="s">
        <v>149</v>
      </c>
      <c r="C33" s="671"/>
      <c r="D33" s="728"/>
      <c r="E33" s="678"/>
      <c r="F33" s="712"/>
      <c r="G33" s="492"/>
      <c r="H33" s="678"/>
      <c r="I33" s="729"/>
      <c r="J33" s="678"/>
    </row>
    <row r="34" spans="1:10" ht="18.75">
      <c r="A34" s="677">
        <v>3</v>
      </c>
      <c r="B34" s="216" t="s">
        <v>169</v>
      </c>
      <c r="C34" s="671"/>
      <c r="D34" s="728"/>
      <c r="E34" s="678"/>
      <c r="F34" s="712"/>
      <c r="G34" s="492"/>
      <c r="H34" s="678"/>
      <c r="I34" s="729"/>
      <c r="J34" s="678"/>
    </row>
    <row r="35" spans="1:10" ht="18.75">
      <c r="A35" s="677">
        <v>4</v>
      </c>
      <c r="B35" s="216" t="s">
        <v>170</v>
      </c>
    </row>
    <row r="36" spans="1:10">
      <c r="B36" s="216" t="s">
        <v>171</v>
      </c>
    </row>
  </sheetData>
  <mergeCells count="5">
    <mergeCell ref="B3:H3"/>
    <mergeCell ref="B4:H4"/>
    <mergeCell ref="B5:H5"/>
    <mergeCell ref="B6:H6"/>
    <mergeCell ref="B2:H2"/>
  </mergeCells>
  <printOptions horizontalCentered="1"/>
  <pageMargins left="0.5" right="0.5" top="0.5" bottom="0.5" header="0.25" footer="0.25"/>
  <pageSetup scale="70" orientation="landscape" r:id="rId1"/>
  <headerFooter scaleWithDoc="0">
    <oddFooter>&amp;C&amp;"Times New Roman,Regular"&amp;10Section 5
Interest TU (BP)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8"/>
  <sheetViews>
    <sheetView zoomScale="80" zoomScaleNormal="80" zoomScaleSheetLayoutView="70" workbookViewId="0">
      <selection activeCell="E17" sqref="E17"/>
    </sheetView>
  </sheetViews>
  <sheetFormatPr defaultColWidth="9.140625" defaultRowHeight="15.75"/>
  <cols>
    <col min="1" max="1" width="5.140625" style="138" customWidth="1"/>
    <col min="2" max="3" width="21.42578125" style="138" customWidth="1"/>
    <col min="4" max="9" width="22" style="138" customWidth="1"/>
    <col min="10" max="10" width="5.140625" style="104" customWidth="1"/>
    <col min="11" max="11" width="14" style="138" customWidth="1"/>
    <col min="12" max="12" width="13.140625" style="138" customWidth="1"/>
    <col min="13" max="13" width="12.5703125" style="138" customWidth="1"/>
    <col min="14" max="14" width="13.5703125" style="138" customWidth="1"/>
    <col min="15" max="15" width="12.5703125" style="138" customWidth="1"/>
    <col min="16" max="16384" width="9.140625" style="138"/>
  </cols>
  <sheetData>
    <row r="1" spans="1:10">
      <c r="A1" s="1085"/>
      <c r="B1" s="224"/>
      <c r="C1" s="683"/>
      <c r="D1" s="684"/>
      <c r="E1" s="685"/>
      <c r="F1" s="686"/>
      <c r="G1" s="687"/>
      <c r="H1" s="688"/>
      <c r="I1" s="688"/>
      <c r="J1" s="689"/>
    </row>
    <row r="2" spans="1:10">
      <c r="A2" s="1085"/>
      <c r="B2" s="1284" t="str">
        <f>'Summary of Cost Components'!B2:D2</f>
        <v>SAN DIEGO GAS &amp; ELECTRIC COMPANY</v>
      </c>
      <c r="C2" s="1284"/>
      <c r="D2" s="1284"/>
      <c r="E2" s="1284"/>
      <c r="F2" s="1284"/>
      <c r="G2" s="1284"/>
      <c r="H2" s="1284"/>
      <c r="I2" s="1284"/>
      <c r="J2" s="689"/>
    </row>
    <row r="3" spans="1:10">
      <c r="B3" s="1284" t="str">
        <f>'Summary of Cost Components'!B3:D3</f>
        <v>CITIZENS' SHARE OF THE SX-PQ UNDERGROUND LINE SEGMENT</v>
      </c>
      <c r="C3" s="1284"/>
      <c r="D3" s="1284"/>
      <c r="E3" s="1284"/>
      <c r="F3" s="1284"/>
      <c r="G3" s="1284"/>
      <c r="H3" s="1284"/>
      <c r="I3" s="1284"/>
      <c r="J3" s="1085"/>
    </row>
    <row r="4" spans="1:10">
      <c r="B4" s="1285" t="str">
        <f>'E. Sec.5 - Interest TU (BP)'!B4:H4</f>
        <v>Derivation of Interest on the 12-Month True-Up Adjustment Applicable to Citizens Cycle 7</v>
      </c>
      <c r="C4" s="1285"/>
      <c r="D4" s="1285"/>
      <c r="E4" s="1285"/>
      <c r="F4" s="1285"/>
      <c r="G4" s="1285"/>
      <c r="H4" s="1285"/>
      <c r="I4" s="1285"/>
      <c r="J4" s="1085"/>
    </row>
    <row r="5" spans="1:10">
      <c r="B5" s="1285" t="str">
        <f>'D. Sec.4 - TU'!B5:N5</f>
        <v>True-Up Period - January 1, 2024 to December 31, 2024</v>
      </c>
      <c r="C5" s="1285"/>
      <c r="D5" s="1285"/>
      <c r="E5" s="1285"/>
      <c r="F5" s="1285"/>
      <c r="G5" s="1285"/>
      <c r="H5" s="1285"/>
      <c r="I5" s="1285"/>
      <c r="J5" s="1085"/>
    </row>
    <row r="6" spans="1:10">
      <c r="B6" s="1286" t="s">
        <v>3</v>
      </c>
      <c r="C6" s="1286"/>
      <c r="D6" s="1286"/>
      <c r="E6" s="1286"/>
      <c r="F6" s="1286"/>
      <c r="G6" s="1286"/>
      <c r="H6" s="1286"/>
      <c r="I6" s="1286"/>
      <c r="J6" s="1085"/>
    </row>
    <row r="7" spans="1:10">
      <c r="A7" s="1085"/>
      <c r="B7" s="1085"/>
      <c r="C7" s="1085"/>
      <c r="D7" s="1085"/>
      <c r="E7" s="1085"/>
      <c r="F7" s="1085"/>
      <c r="G7" s="1085"/>
      <c r="H7" s="1085"/>
      <c r="I7" s="1085"/>
      <c r="J7" s="1085"/>
    </row>
    <row r="8" spans="1:10">
      <c r="A8" s="247" t="s">
        <v>4</v>
      </c>
      <c r="B8" s="18"/>
      <c r="C8" s="671"/>
      <c r="D8" s="680"/>
      <c r="E8" s="678"/>
      <c r="F8" s="681"/>
      <c r="G8" s="679"/>
      <c r="H8" s="682"/>
      <c r="I8" s="682"/>
      <c r="J8" s="247" t="s">
        <v>4</v>
      </c>
    </row>
    <row r="9" spans="1:10">
      <c r="A9" s="247" t="s">
        <v>5</v>
      </c>
      <c r="B9" s="18"/>
      <c r="C9" s="671"/>
      <c r="D9" s="680"/>
      <c r="E9" s="678"/>
      <c r="F9" s="681"/>
      <c r="G9" s="679"/>
      <c r="H9" s="682"/>
      <c r="I9" s="682"/>
      <c r="J9" s="247" t="s">
        <v>5</v>
      </c>
    </row>
    <row r="10" spans="1:10">
      <c r="B10" s="18"/>
      <c r="C10" s="671"/>
      <c r="D10" s="680"/>
      <c r="E10" s="678"/>
      <c r="F10" s="681"/>
      <c r="G10" s="679"/>
      <c r="H10" s="682"/>
      <c r="I10" s="682"/>
    </row>
    <row r="11" spans="1:10">
      <c r="A11" s="104">
        <v>1</v>
      </c>
      <c r="C11" s="668" t="s">
        <v>101</v>
      </c>
      <c r="D11" s="668" t="s">
        <v>102</v>
      </c>
      <c r="E11" s="668" t="s">
        <v>103</v>
      </c>
      <c r="F11" s="668" t="s">
        <v>104</v>
      </c>
      <c r="G11" s="668" t="s">
        <v>105</v>
      </c>
      <c r="H11" s="668" t="s">
        <v>106</v>
      </c>
      <c r="I11" s="668" t="s">
        <v>107</v>
      </c>
      <c r="J11" s="104">
        <f>A11</f>
        <v>1</v>
      </c>
    </row>
    <row r="12" spans="1:10">
      <c r="A12" s="104">
        <f>A11+1</f>
        <v>2</v>
      </c>
      <c r="C12" s="668"/>
      <c r="D12" s="247"/>
      <c r="E12" s="247" t="str">
        <f>"See Footnote "&amp;A34</f>
        <v>See Footnote 2</v>
      </c>
      <c r="F12" s="247" t="str">
        <f>"See Footnote "&amp;A36</f>
        <v>See Footnote 3</v>
      </c>
      <c r="G12" s="412" t="str">
        <f>"= - ("&amp;F11&amp;" + "&amp;H11&amp;")"</f>
        <v>= - (Col. 4 + Col. 6)</v>
      </c>
      <c r="H12" s="412" t="str">
        <f>"= "&amp;D11&amp;" x "&amp;E11</f>
        <v>= Col. 2 x Col. 3</v>
      </c>
      <c r="I12" s="412" t="str">
        <f>"= "&amp;E11&amp;" - "&amp;G11</f>
        <v>= Col. 3 - Col. 5</v>
      </c>
      <c r="J12" s="104">
        <f>J11+1</f>
        <v>2</v>
      </c>
    </row>
    <row r="13" spans="1:10">
      <c r="A13" s="104">
        <f t="shared" ref="A13:A30" si="0">A12+1</f>
        <v>3</v>
      </c>
      <c r="C13" s="668"/>
      <c r="D13" s="247"/>
      <c r="E13" s="247"/>
      <c r="F13" s="1085"/>
      <c r="I13" s="668"/>
      <c r="J13" s="104">
        <f t="shared" ref="J13:J30" si="1">J12+1</f>
        <v>3</v>
      </c>
    </row>
    <row r="14" spans="1:10">
      <c r="A14" s="104">
        <f t="shared" si="0"/>
        <v>4</v>
      </c>
      <c r="B14" s="18"/>
      <c r="C14" s="671"/>
      <c r="D14" s="551" t="s">
        <v>114</v>
      </c>
      <c r="E14" s="689" t="s">
        <v>123</v>
      </c>
      <c r="F14" s="1085"/>
      <c r="I14" s="690" t="s">
        <v>123</v>
      </c>
      <c r="J14" s="104">
        <f t="shared" si="1"/>
        <v>4</v>
      </c>
    </row>
    <row r="15" spans="1:10">
      <c r="A15" s="104">
        <f t="shared" si="0"/>
        <v>5</v>
      </c>
      <c r="C15" s="671"/>
      <c r="D15" s="551" t="s">
        <v>121</v>
      </c>
      <c r="E15" s="689" t="s">
        <v>172</v>
      </c>
      <c r="F15" s="1085"/>
      <c r="I15" s="690" t="s">
        <v>173</v>
      </c>
      <c r="J15" s="104">
        <f t="shared" si="1"/>
        <v>5</v>
      </c>
    </row>
    <row r="16" spans="1:10" ht="18.75">
      <c r="A16" s="104">
        <f t="shared" si="0"/>
        <v>6</v>
      </c>
      <c r="B16" s="669" t="s">
        <v>123</v>
      </c>
      <c r="C16" s="669" t="s">
        <v>124</v>
      </c>
      <c r="D16" s="500" t="s">
        <v>174</v>
      </c>
      <c r="E16" s="691" t="s">
        <v>175</v>
      </c>
      <c r="F16" s="670" t="s">
        <v>176</v>
      </c>
      <c r="G16" s="500" t="s">
        <v>177</v>
      </c>
      <c r="H16" s="500" t="s">
        <v>121</v>
      </c>
      <c r="I16" s="668" t="s">
        <v>175</v>
      </c>
      <c r="J16" s="104">
        <f t="shared" si="1"/>
        <v>6</v>
      </c>
    </row>
    <row r="17" spans="1:13">
      <c r="A17" s="104">
        <f t="shared" si="0"/>
        <v>7</v>
      </c>
      <c r="B17" s="18" t="s">
        <v>133</v>
      </c>
      <c r="C17" s="692">
        <f>Automation!B3+1</f>
        <v>2025</v>
      </c>
      <c r="D17" s="693">
        <f>AVERAGE('D. Sec.4 - TU'!J19:J30)</f>
        <v>7.0999999999999995E-3</v>
      </c>
      <c r="E17" s="694">
        <f>'E. Sec.5 - Interest TU (BP)'!H28</f>
        <v>13.349014541218198</v>
      </c>
      <c r="F17" s="666">
        <f>-E17/(((1+D17)^12-1)/(D17*(1+D17)^12))</f>
        <v>-1.1644217726093766</v>
      </c>
      <c r="G17" s="666">
        <f>-(F17+H17)</f>
        <v>1.0696437693667273</v>
      </c>
      <c r="H17" s="1216">
        <f>E17*D17</f>
        <v>9.4778003242649192E-2</v>
      </c>
      <c r="I17" s="695">
        <f t="shared" ref="I17:I28" si="2">E17-G17</f>
        <v>12.27937077185147</v>
      </c>
      <c r="J17" s="104">
        <f t="shared" si="1"/>
        <v>7</v>
      </c>
    </row>
    <row r="18" spans="1:13">
      <c r="A18" s="104">
        <f t="shared" si="0"/>
        <v>8</v>
      </c>
      <c r="B18" s="18" t="s">
        <v>134</v>
      </c>
      <c r="C18" s="692">
        <f>$C$17</f>
        <v>2025</v>
      </c>
      <c r="D18" s="679">
        <f t="shared" ref="D18:D28" si="3">$D$17</f>
        <v>7.0999999999999995E-3</v>
      </c>
      <c r="E18" s="673">
        <f t="shared" ref="E18:E28" si="4">I17</f>
        <v>12.27937077185147</v>
      </c>
      <c r="F18" s="667">
        <f>-E17/(((1+D17)^12-1)/(D17*(1+D17)^12))</f>
        <v>-1.1644217726093766</v>
      </c>
      <c r="G18" s="667">
        <f t="shared" ref="G18:G28" si="5">-(F18+H18)</f>
        <v>1.0772382401292311</v>
      </c>
      <c r="H18" s="1217">
        <f t="shared" ref="H18:H28" si="6">E18*D18</f>
        <v>8.7183532480145431E-2</v>
      </c>
      <c r="I18" s="696">
        <f t="shared" si="2"/>
        <v>11.202132531722238</v>
      </c>
      <c r="J18" s="104">
        <f t="shared" si="1"/>
        <v>8</v>
      </c>
      <c r="L18" s="697"/>
    </row>
    <row r="19" spans="1:13">
      <c r="A19" s="104">
        <f t="shared" si="0"/>
        <v>9</v>
      </c>
      <c r="B19" s="18" t="s">
        <v>158</v>
      </c>
      <c r="C19" s="692">
        <f t="shared" ref="C19:C28" si="7">$C$17</f>
        <v>2025</v>
      </c>
      <c r="D19" s="679">
        <f t="shared" si="3"/>
        <v>7.0999999999999995E-3</v>
      </c>
      <c r="E19" s="673">
        <f t="shared" si="4"/>
        <v>11.202132531722238</v>
      </c>
      <c r="F19" s="667">
        <f>-E17/(((1+D17)^12-1)/(D17*(1+D17)^12))</f>
        <v>-1.1644217726093766</v>
      </c>
      <c r="G19" s="667">
        <f t="shared" si="5"/>
        <v>1.0848866316341488</v>
      </c>
      <c r="H19" s="1217">
        <f t="shared" si="6"/>
        <v>7.9535140975227889E-2</v>
      </c>
      <c r="I19" s="696">
        <f t="shared" si="2"/>
        <v>10.11724590008809</v>
      </c>
      <c r="J19" s="104">
        <f t="shared" si="1"/>
        <v>9</v>
      </c>
    </row>
    <row r="20" spans="1:13">
      <c r="A20" s="104">
        <f t="shared" si="0"/>
        <v>10</v>
      </c>
      <c r="B20" s="18" t="s">
        <v>159</v>
      </c>
      <c r="C20" s="692">
        <f t="shared" si="7"/>
        <v>2025</v>
      </c>
      <c r="D20" s="679">
        <f t="shared" si="3"/>
        <v>7.0999999999999995E-3</v>
      </c>
      <c r="E20" s="673">
        <f t="shared" si="4"/>
        <v>10.11724590008809</v>
      </c>
      <c r="F20" s="667">
        <f>-E17/(((1+D17)^12-1)/(D17*(1+D17)^12))</f>
        <v>-1.1644217726093766</v>
      </c>
      <c r="G20" s="667">
        <f t="shared" si="5"/>
        <v>1.0925893267187512</v>
      </c>
      <c r="H20" s="1217">
        <f t="shared" si="6"/>
        <v>7.1832445890625429E-2</v>
      </c>
      <c r="I20" s="696">
        <f t="shared" si="2"/>
        <v>9.024656573369338</v>
      </c>
      <c r="J20" s="104">
        <f t="shared" si="1"/>
        <v>10</v>
      </c>
    </row>
    <row r="21" spans="1:13">
      <c r="A21" s="104">
        <f t="shared" si="0"/>
        <v>11</v>
      </c>
      <c r="B21" s="18" t="s">
        <v>160</v>
      </c>
      <c r="C21" s="692">
        <f t="shared" si="7"/>
        <v>2025</v>
      </c>
      <c r="D21" s="679">
        <f t="shared" si="3"/>
        <v>7.0999999999999995E-3</v>
      </c>
      <c r="E21" s="673">
        <f t="shared" si="4"/>
        <v>9.024656573369338</v>
      </c>
      <c r="F21" s="667">
        <f>-E17/(((1+D17)^12-1)/(D17*(1+D17)^12))</f>
        <v>-1.1644217726093766</v>
      </c>
      <c r="G21" s="667">
        <f t="shared" si="5"/>
        <v>1.1003467109384544</v>
      </c>
      <c r="H21" s="1217">
        <f t="shared" si="6"/>
        <v>6.4075061670922293E-2</v>
      </c>
      <c r="I21" s="696">
        <f t="shared" si="2"/>
        <v>7.9243098624308832</v>
      </c>
      <c r="J21" s="104">
        <f t="shared" si="1"/>
        <v>11</v>
      </c>
    </row>
    <row r="22" spans="1:13">
      <c r="A22" s="104">
        <f t="shared" si="0"/>
        <v>12</v>
      </c>
      <c r="B22" s="18" t="s">
        <v>178</v>
      </c>
      <c r="C22" s="692">
        <f t="shared" si="7"/>
        <v>2025</v>
      </c>
      <c r="D22" s="679">
        <f t="shared" si="3"/>
        <v>7.0999999999999995E-3</v>
      </c>
      <c r="E22" s="673">
        <f t="shared" si="4"/>
        <v>7.9243098624308832</v>
      </c>
      <c r="F22" s="667">
        <f>-E17/(((1+D17)^12-1)/(D17*(1+D17)^12))</f>
        <v>-1.1644217726093766</v>
      </c>
      <c r="G22" s="667">
        <f t="shared" si="5"/>
        <v>1.1081591725861173</v>
      </c>
      <c r="H22" s="1217">
        <f t="shared" si="6"/>
        <v>5.6262600023259265E-2</v>
      </c>
      <c r="I22" s="696">
        <f t="shared" si="2"/>
        <v>6.8161506898447657</v>
      </c>
      <c r="J22" s="104">
        <f t="shared" si="1"/>
        <v>12</v>
      </c>
    </row>
    <row r="23" spans="1:13">
      <c r="A23" s="104">
        <f t="shared" si="0"/>
        <v>13</v>
      </c>
      <c r="B23" s="18" t="s">
        <v>162</v>
      </c>
      <c r="C23" s="692">
        <f t="shared" si="7"/>
        <v>2025</v>
      </c>
      <c r="D23" s="679">
        <f t="shared" si="3"/>
        <v>7.0999999999999995E-3</v>
      </c>
      <c r="E23" s="673">
        <f t="shared" si="4"/>
        <v>6.8161506898447657</v>
      </c>
      <c r="F23" s="667">
        <f>-E17/(((1+D17)^12-1)/(D17*(1+D17)^12))</f>
        <v>-1.1644217726093766</v>
      </c>
      <c r="G23" s="667">
        <f t="shared" si="5"/>
        <v>1.1160271027114788</v>
      </c>
      <c r="H23" s="1217">
        <f t="shared" si="6"/>
        <v>4.8394669897897834E-2</v>
      </c>
      <c r="I23" s="696">
        <f t="shared" si="2"/>
        <v>5.7001235871332874</v>
      </c>
      <c r="J23" s="104">
        <f t="shared" si="1"/>
        <v>13</v>
      </c>
    </row>
    <row r="24" spans="1:13">
      <c r="A24" s="104">
        <f t="shared" si="0"/>
        <v>14</v>
      </c>
      <c r="B24" s="18" t="s">
        <v>163</v>
      </c>
      <c r="C24" s="692">
        <f t="shared" si="7"/>
        <v>2025</v>
      </c>
      <c r="D24" s="679">
        <f t="shared" si="3"/>
        <v>7.0999999999999995E-3</v>
      </c>
      <c r="E24" s="673">
        <f t="shared" si="4"/>
        <v>5.7001235871332874</v>
      </c>
      <c r="F24" s="667">
        <f>-E17/(((1+D17)^12-1)/(D17*(1+D17)^12))</f>
        <v>-1.1644217726093766</v>
      </c>
      <c r="G24" s="667">
        <f t="shared" si="5"/>
        <v>1.1239508951407302</v>
      </c>
      <c r="H24" s="1217">
        <f t="shared" si="6"/>
        <v>4.0470877468646339E-2</v>
      </c>
      <c r="I24" s="696">
        <f t="shared" si="2"/>
        <v>4.5761726919925572</v>
      </c>
      <c r="J24" s="104">
        <f t="shared" si="1"/>
        <v>14</v>
      </c>
    </row>
    <row r="25" spans="1:13">
      <c r="A25" s="104">
        <f t="shared" si="0"/>
        <v>15</v>
      </c>
      <c r="B25" s="18" t="s">
        <v>164</v>
      </c>
      <c r="C25" s="692">
        <f t="shared" si="7"/>
        <v>2025</v>
      </c>
      <c r="D25" s="679">
        <f t="shared" si="3"/>
        <v>7.0999999999999995E-3</v>
      </c>
      <c r="E25" s="673">
        <f t="shared" si="4"/>
        <v>4.5761726919925572</v>
      </c>
      <c r="F25" s="667">
        <f>-E17/(((1+D17)^12-1)/(D17*(1+D17)^12))</f>
        <v>-1.1644217726093766</v>
      </c>
      <c r="G25" s="667">
        <f t="shared" si="5"/>
        <v>1.1319309464962295</v>
      </c>
      <c r="H25" s="1217">
        <f t="shared" si="6"/>
        <v>3.2490826113147152E-2</v>
      </c>
      <c r="I25" s="696">
        <f t="shared" si="2"/>
        <v>3.4442417454963277</v>
      </c>
      <c r="J25" s="104">
        <f t="shared" si="1"/>
        <v>15</v>
      </c>
      <c r="K25" s="698"/>
    </row>
    <row r="26" spans="1:13">
      <c r="A26" s="104">
        <f t="shared" si="0"/>
        <v>16</v>
      </c>
      <c r="B26" s="18" t="s">
        <v>165</v>
      </c>
      <c r="C26" s="692">
        <f t="shared" si="7"/>
        <v>2025</v>
      </c>
      <c r="D26" s="679">
        <f t="shared" si="3"/>
        <v>7.0999999999999995E-3</v>
      </c>
      <c r="E26" s="673">
        <f t="shared" si="4"/>
        <v>3.4442417454963277</v>
      </c>
      <c r="F26" s="667">
        <f>-E17/(((1+D17)^12-1)/(D17*(1+D17)^12))</f>
        <v>-1.1644217726093766</v>
      </c>
      <c r="G26" s="667">
        <f t="shared" si="5"/>
        <v>1.1399676562163528</v>
      </c>
      <c r="H26" s="1217">
        <f t="shared" si="6"/>
        <v>2.4454116393023924E-2</v>
      </c>
      <c r="I26" s="696">
        <f t="shared" si="2"/>
        <v>2.3042740892799749</v>
      </c>
      <c r="J26" s="104">
        <f t="shared" si="1"/>
        <v>16</v>
      </c>
      <c r="K26" s="698"/>
      <c r="M26" s="675"/>
    </row>
    <row r="27" spans="1:13">
      <c r="A27" s="104">
        <f t="shared" si="0"/>
        <v>17</v>
      </c>
      <c r="B27" s="18" t="s">
        <v>166</v>
      </c>
      <c r="C27" s="692">
        <f t="shared" si="7"/>
        <v>2025</v>
      </c>
      <c r="D27" s="679">
        <f t="shared" si="3"/>
        <v>7.0999999999999995E-3</v>
      </c>
      <c r="E27" s="673">
        <f t="shared" si="4"/>
        <v>2.3042740892799749</v>
      </c>
      <c r="F27" s="667">
        <f>-E17/(((1+D17)^12-1)/(D17*(1+D17)^12))</f>
        <v>-1.1644217726093766</v>
      </c>
      <c r="G27" s="667">
        <f t="shared" si="5"/>
        <v>1.1480614265754887</v>
      </c>
      <c r="H27" s="1217">
        <f t="shared" si="6"/>
        <v>1.6360346033887821E-2</v>
      </c>
      <c r="I27" s="696">
        <f t="shared" si="2"/>
        <v>1.1562126627044862</v>
      </c>
      <c r="J27" s="104">
        <f t="shared" si="1"/>
        <v>17</v>
      </c>
      <c r="K27" s="698"/>
    </row>
    <row r="28" spans="1:13">
      <c r="A28" s="104">
        <f t="shared" si="0"/>
        <v>18</v>
      </c>
      <c r="B28" s="947" t="s">
        <v>167</v>
      </c>
      <c r="C28" s="1100">
        <f t="shared" si="7"/>
        <v>2025</v>
      </c>
      <c r="D28" s="1101">
        <f t="shared" si="3"/>
        <v>7.0999999999999995E-3</v>
      </c>
      <c r="E28" s="1102">
        <f t="shared" si="4"/>
        <v>1.1562126627044862</v>
      </c>
      <c r="F28" s="1103">
        <f>-E17/(((1+D17)^12-1)/(D17*(1+D17)^12))</f>
        <v>-1.1644217726093766</v>
      </c>
      <c r="G28" s="1103">
        <f t="shared" si="5"/>
        <v>1.1562126627041747</v>
      </c>
      <c r="H28" s="1218">
        <f t="shared" si="6"/>
        <v>8.2091099052018519E-3</v>
      </c>
      <c r="I28" s="1104">
        <f t="shared" si="2"/>
        <v>3.1152858070981893E-13</v>
      </c>
      <c r="J28" s="104">
        <f t="shared" si="1"/>
        <v>18</v>
      </c>
    </row>
    <row r="29" spans="1:13" ht="18.75">
      <c r="A29" s="104">
        <f t="shared" si="0"/>
        <v>19</v>
      </c>
      <c r="B29" s="224" t="s">
        <v>883</v>
      </c>
      <c r="C29" s="692"/>
      <c r="D29" s="679"/>
      <c r="E29" s="896"/>
      <c r="F29" s="897"/>
      <c r="G29" s="897"/>
      <c r="H29" s="1217">
        <f>'E. Sec.5 - Interest TU (BP)'!G29</f>
        <v>1.0865406035129381</v>
      </c>
      <c r="I29" s="898"/>
      <c r="J29" s="104">
        <f t="shared" si="1"/>
        <v>19</v>
      </c>
    </row>
    <row r="30" spans="1:13" ht="16.5" thickBot="1">
      <c r="A30" s="104">
        <f t="shared" si="0"/>
        <v>20</v>
      </c>
      <c r="B30" s="224" t="s">
        <v>179</v>
      </c>
      <c r="C30" s="671"/>
      <c r="D30" s="680"/>
      <c r="E30" s="699"/>
      <c r="F30" s="676"/>
      <c r="H30" s="1222">
        <f>SUM(H17:H29)</f>
        <v>1.7105873336075725</v>
      </c>
      <c r="I30" s="676"/>
      <c r="J30" s="104">
        <f t="shared" si="1"/>
        <v>20</v>
      </c>
    </row>
    <row r="31" spans="1:13" ht="16.5" thickTop="1">
      <c r="A31" s="104"/>
    </row>
    <row r="32" spans="1:13">
      <c r="A32" s="104"/>
    </row>
    <row r="33" spans="1:2" ht="18.75">
      <c r="A33" s="677">
        <v>1</v>
      </c>
      <c r="B33" s="138" t="s">
        <v>180</v>
      </c>
    </row>
    <row r="34" spans="1:2" ht="18.75">
      <c r="A34" s="677">
        <v>2</v>
      </c>
      <c r="B34" s="138" t="s">
        <v>181</v>
      </c>
    </row>
    <row r="35" spans="1:2" ht="18.75">
      <c r="A35" s="677"/>
      <c r="B35" s="138" t="s">
        <v>182</v>
      </c>
    </row>
    <row r="36" spans="1:2" ht="18.75">
      <c r="A36" s="677">
        <v>3</v>
      </c>
      <c r="B36" s="138" t="s">
        <v>183</v>
      </c>
    </row>
    <row r="37" spans="1:2">
      <c r="B37" s="138" t="s">
        <v>184</v>
      </c>
    </row>
    <row r="38" spans="1:2" ht="18.75">
      <c r="A38" s="677">
        <v>4</v>
      </c>
      <c r="B38" s="138" t="str">
        <f>"Total Base Period Interest comes from Section 5; Page Interest TU (BP); Col. 5; Line "&amp;'E. Sec.5 - Interest TU (BP)'!A29</f>
        <v>Total Base Period Interest comes from Section 5; Page Interest TU (BP); Col. 5; Line 19</v>
      </c>
    </row>
  </sheetData>
  <mergeCells count="5">
    <mergeCell ref="B3:I3"/>
    <mergeCell ref="B4:I4"/>
    <mergeCell ref="B5:I5"/>
    <mergeCell ref="B6:I6"/>
    <mergeCell ref="B2:I2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Roman,Regular"&amp;10Section 5
Interest TU (CY)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13D5-7380-43D3-A9B8-8937A84C3B3D}">
  <dimension ref="A1"/>
  <sheetViews>
    <sheetView zoomScale="80" zoomScaleNormal="80" workbookViewId="0"/>
  </sheetViews>
  <sheetFormatPr defaultRowHeight="1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77"/>
  <sheetViews>
    <sheetView zoomScale="80" zoomScaleNormal="80" zoomScalePageLayoutView="80" workbookViewId="0">
      <selection activeCell="C32" sqref="C32"/>
    </sheetView>
  </sheetViews>
  <sheetFormatPr defaultColWidth="8.5703125" defaultRowHeight="15.75"/>
  <cols>
    <col min="1" max="1" width="5.140625" style="119" bestFit="1" customWidth="1"/>
    <col min="2" max="2" width="55.5703125" style="136" customWidth="1"/>
    <col min="3" max="3" width="40.42578125" style="119" bestFit="1" customWidth="1"/>
    <col min="4" max="4" width="1.5703125" style="136" customWidth="1"/>
    <col min="5" max="5" width="16.5703125" style="136" customWidth="1"/>
    <col min="6" max="6" width="1.5703125" style="136" customWidth="1"/>
    <col min="7" max="7" width="16.5703125" style="136" customWidth="1"/>
    <col min="8" max="8" width="1.5703125" style="136" customWidth="1"/>
    <col min="9" max="9" width="16.5703125" style="136" customWidth="1"/>
    <col min="10" max="10" width="1.5703125" style="136" customWidth="1"/>
    <col min="11" max="11" width="34.5703125" style="136" customWidth="1"/>
    <col min="12" max="12" width="5.140625" style="119" bestFit="1" customWidth="1"/>
    <col min="13" max="13" width="8.5703125" style="136"/>
    <col min="14" max="14" width="38.140625" style="136" customWidth="1"/>
    <col min="15" max="16384" width="8.5703125" style="136"/>
  </cols>
  <sheetData>
    <row r="1" spans="1:14">
      <c r="A1" s="119" t="s">
        <v>185</v>
      </c>
    </row>
    <row r="2" spans="1:14">
      <c r="A2" s="136"/>
      <c r="B2" s="1287" t="s">
        <v>0</v>
      </c>
      <c r="C2" s="1287"/>
      <c r="D2" s="1287"/>
      <c r="E2" s="1287"/>
      <c r="F2" s="1287"/>
      <c r="G2" s="1287"/>
      <c r="H2" s="1287"/>
      <c r="I2" s="1287"/>
      <c r="J2" s="1287"/>
      <c r="K2" s="1287"/>
      <c r="N2" s="435"/>
    </row>
    <row r="3" spans="1:14">
      <c r="A3" s="136"/>
      <c r="B3" s="1287" t="s">
        <v>186</v>
      </c>
      <c r="C3" s="1287"/>
      <c r="D3" s="1287"/>
      <c r="E3" s="1287"/>
      <c r="F3" s="1287"/>
      <c r="G3" s="1287"/>
      <c r="H3" s="1287"/>
      <c r="I3" s="1287"/>
      <c r="J3" s="1287"/>
      <c r="K3" s="1287"/>
      <c r="N3" s="435"/>
    </row>
    <row r="4" spans="1:14">
      <c r="A4" s="136"/>
      <c r="B4" s="1287" t="s">
        <v>187</v>
      </c>
      <c r="C4" s="1287"/>
      <c r="D4" s="1287"/>
      <c r="E4" s="1287"/>
      <c r="F4" s="1287"/>
      <c r="G4" s="1287"/>
      <c r="H4" s="1288"/>
      <c r="I4" s="1288"/>
      <c r="J4" s="1288"/>
      <c r="K4" s="1288"/>
    </row>
    <row r="5" spans="1:14">
      <c r="B5" s="1289" t="str">
        <f>'A. Sec.1 - Direct Maintenance'!B5</f>
        <v>Base Period &amp; True-Up Period 12 - Months Ending December 31, 2024</v>
      </c>
      <c r="C5" s="1289"/>
      <c r="D5" s="1289"/>
      <c r="E5" s="1289"/>
      <c r="F5" s="1289"/>
      <c r="G5" s="1289"/>
      <c r="H5" s="1290"/>
      <c r="I5" s="1290"/>
      <c r="J5" s="1290"/>
      <c r="K5" s="1290"/>
      <c r="N5" s="110"/>
    </row>
    <row r="6" spans="1:14">
      <c r="B6" s="1291" t="s">
        <v>3</v>
      </c>
      <c r="C6" s="1288"/>
      <c r="D6" s="1288"/>
      <c r="E6" s="1288"/>
      <c r="F6" s="1288"/>
      <c r="G6" s="1288"/>
      <c r="H6" s="1288"/>
      <c r="I6" s="1288"/>
      <c r="J6" s="1288"/>
      <c r="K6" s="1288"/>
      <c r="N6" s="435"/>
    </row>
    <row r="7" spans="1:14">
      <c r="B7" s="1086"/>
      <c r="C7" s="109"/>
      <c r="D7" s="110"/>
      <c r="E7" s="110"/>
      <c r="F7" s="110"/>
      <c r="G7" s="110"/>
      <c r="H7" s="110"/>
      <c r="I7" s="110"/>
      <c r="J7" s="110"/>
      <c r="K7" s="110"/>
      <c r="N7" s="435"/>
    </row>
    <row r="8" spans="1:14">
      <c r="A8" s="119" t="s">
        <v>4</v>
      </c>
      <c r="B8" s="109"/>
      <c r="C8" s="247" t="s">
        <v>188</v>
      </c>
      <c r="D8" s="109"/>
      <c r="E8" s="341" t="s">
        <v>77</v>
      </c>
      <c r="F8" s="119"/>
      <c r="G8" s="341" t="s">
        <v>78</v>
      </c>
      <c r="H8" s="119"/>
      <c r="I8" s="341" t="s">
        <v>189</v>
      </c>
      <c r="J8" s="109"/>
      <c r="L8" s="119" t="s">
        <v>4</v>
      </c>
    </row>
    <row r="9" spans="1:14">
      <c r="A9" s="119" t="s">
        <v>5</v>
      </c>
      <c r="B9" s="109"/>
      <c r="C9" s="994" t="s">
        <v>190</v>
      </c>
      <c r="D9" s="109"/>
      <c r="E9" s="1105" t="str">
        <f>"31-Dec-"&amp;RIGHT(Automation!$B$3-1,2)</f>
        <v>31-Dec-23</v>
      </c>
      <c r="F9" s="109"/>
      <c r="G9" s="1106" t="str">
        <f>"31-Dec-"&amp;RIGHT(Automation!$B$3,2)</f>
        <v>31-Dec-24</v>
      </c>
      <c r="H9" s="109"/>
      <c r="I9" s="1008" t="s">
        <v>191</v>
      </c>
      <c r="J9" s="109"/>
      <c r="K9" s="1009" t="s">
        <v>8</v>
      </c>
      <c r="L9" s="119" t="s">
        <v>5</v>
      </c>
      <c r="N9" s="216"/>
    </row>
    <row r="10" spans="1:14">
      <c r="E10" s="436"/>
      <c r="G10" s="436"/>
      <c r="H10" s="436"/>
      <c r="I10" s="436"/>
      <c r="J10" s="436"/>
      <c r="K10" s="436"/>
    </row>
    <row r="11" spans="1:14" ht="18.75">
      <c r="A11" s="119">
        <v>1</v>
      </c>
      <c r="B11" s="136" t="s">
        <v>905</v>
      </c>
      <c r="C11" s="119" t="s">
        <v>920</v>
      </c>
      <c r="E11" s="361"/>
      <c r="G11" s="361"/>
      <c r="H11" s="431"/>
      <c r="I11" s="394">
        <f>'AD-1'!E31</f>
        <v>593486.33534692298</v>
      </c>
      <c r="J11" s="352"/>
      <c r="K11" s="437" t="str">
        <f>"AD-1; Line "&amp;'AD-1'!A31</f>
        <v>AD-1; Line 18</v>
      </c>
      <c r="L11" s="119">
        <f>A11</f>
        <v>1</v>
      </c>
    </row>
    <row r="12" spans="1:14">
      <c r="A12" s="119">
        <f t="shared" ref="A12:A45" si="0">+A11+1</f>
        <v>2</v>
      </c>
      <c r="B12" s="136" t="s">
        <v>185</v>
      </c>
      <c r="E12" s="361"/>
      <c r="G12" s="361"/>
      <c r="H12" s="355"/>
      <c r="I12" s="361"/>
      <c r="J12" s="355"/>
      <c r="K12" s="437"/>
      <c r="L12" s="119">
        <f t="shared" ref="L12:L45" si="1">+L11+1</f>
        <v>2</v>
      </c>
    </row>
    <row r="13" spans="1:14" ht="18.75">
      <c r="A13" s="119">
        <f t="shared" si="0"/>
        <v>3</v>
      </c>
      <c r="B13" s="136" t="s">
        <v>906</v>
      </c>
      <c r="C13" s="119" t="s">
        <v>920</v>
      </c>
      <c r="E13" s="361"/>
      <c r="G13" s="361"/>
      <c r="H13" s="431"/>
      <c r="I13" s="397">
        <f>'AD-2'!E31</f>
        <v>0</v>
      </c>
      <c r="J13" s="352"/>
      <c r="K13" s="437" t="str">
        <f>"AD-2; Line "&amp;'AD-2'!A31</f>
        <v>AD-2; Line 18</v>
      </c>
      <c r="L13" s="119">
        <f t="shared" si="1"/>
        <v>3</v>
      </c>
    </row>
    <row r="14" spans="1:14">
      <c r="A14" s="119">
        <f t="shared" si="0"/>
        <v>4</v>
      </c>
      <c r="E14" s="361"/>
      <c r="F14" s="110"/>
      <c r="G14" s="361"/>
      <c r="H14" s="355"/>
      <c r="I14" s="361"/>
      <c r="J14" s="355"/>
      <c r="K14" s="437"/>
      <c r="L14" s="119">
        <f t="shared" si="1"/>
        <v>4</v>
      </c>
    </row>
    <row r="15" spans="1:14" ht="18.75">
      <c r="A15" s="119">
        <f t="shared" si="0"/>
        <v>5</v>
      </c>
      <c r="B15" s="136" t="s">
        <v>907</v>
      </c>
      <c r="E15" s="361"/>
      <c r="F15" s="110"/>
      <c r="G15" s="361"/>
      <c r="H15" s="431"/>
      <c r="I15" s="397">
        <f>'AD-3'!E31</f>
        <v>0</v>
      </c>
      <c r="J15" s="355"/>
      <c r="K15" s="437" t="str">
        <f>"AD-3; Line "&amp;'AD-3'!A31</f>
        <v>AD-3; Line 18</v>
      </c>
      <c r="L15" s="119">
        <f t="shared" si="1"/>
        <v>5</v>
      </c>
    </row>
    <row r="16" spans="1:14">
      <c r="A16" s="119">
        <f t="shared" si="0"/>
        <v>6</v>
      </c>
      <c r="E16" s="361"/>
      <c r="F16" s="110"/>
      <c r="G16" s="361"/>
      <c r="H16" s="355"/>
      <c r="I16" s="361"/>
      <c r="J16" s="355"/>
      <c r="K16" s="437"/>
      <c r="L16" s="119">
        <f t="shared" si="1"/>
        <v>6</v>
      </c>
    </row>
    <row r="17" spans="1:13" ht="18.75">
      <c r="A17" s="119">
        <f t="shared" si="0"/>
        <v>7</v>
      </c>
      <c r="B17" s="136" t="s">
        <v>908</v>
      </c>
      <c r="C17" s="119" t="s">
        <v>920</v>
      </c>
      <c r="E17" s="360"/>
      <c r="F17" s="110"/>
      <c r="G17" s="360"/>
      <c r="H17" s="426"/>
      <c r="I17" s="389">
        <f>'AD-4'!E31</f>
        <v>583302.3956007692</v>
      </c>
      <c r="J17" s="352"/>
      <c r="K17" s="437" t="str">
        <f>"AD-4; Line "&amp;'AD-4'!A31</f>
        <v>AD-4; Line 18</v>
      </c>
      <c r="L17" s="119">
        <f t="shared" si="1"/>
        <v>7</v>
      </c>
    </row>
    <row r="18" spans="1:13">
      <c r="A18" s="119">
        <f t="shared" si="0"/>
        <v>8</v>
      </c>
      <c r="E18" s="360"/>
      <c r="F18" s="110"/>
      <c r="G18" s="360"/>
      <c r="H18" s="355"/>
      <c r="I18" s="360"/>
      <c r="J18" s="355"/>
      <c r="K18" s="437"/>
      <c r="L18" s="119">
        <f t="shared" si="1"/>
        <v>8</v>
      </c>
    </row>
    <row r="19" spans="1:13" ht="18.75">
      <c r="A19" s="119">
        <f>+A18+1</f>
        <v>9</v>
      </c>
      <c r="B19" s="136" t="s">
        <v>909</v>
      </c>
      <c r="C19" s="119" t="s">
        <v>921</v>
      </c>
      <c r="E19" s="429">
        <f>'AD-5'!E15</f>
        <v>11031887.66371526</v>
      </c>
      <c r="F19" s="323"/>
      <c r="G19" s="429">
        <f>'AD-5'!E17</f>
        <v>11900658.479583826</v>
      </c>
      <c r="H19" s="426"/>
      <c r="I19" s="360">
        <f>(E19+G19)/2</f>
        <v>11466273.071649544</v>
      </c>
      <c r="J19" s="355"/>
      <c r="K19" s="438" t="str">
        <f>"AD-5; Line "&amp;'AD-5'!A20</f>
        <v>AD-5; Line 6</v>
      </c>
      <c r="L19" s="119">
        <f>+L18+1</f>
        <v>9</v>
      </c>
    </row>
    <row r="20" spans="1:13">
      <c r="A20" s="119">
        <f t="shared" si="0"/>
        <v>10</v>
      </c>
      <c r="E20" s="360"/>
      <c r="G20" s="360"/>
      <c r="H20" s="355"/>
      <c r="I20" s="360"/>
      <c r="J20" s="355"/>
      <c r="K20" s="439"/>
      <c r="L20" s="119">
        <f t="shared" si="1"/>
        <v>10</v>
      </c>
    </row>
    <row r="21" spans="1:13" ht="18.75">
      <c r="A21" s="119">
        <f t="shared" si="0"/>
        <v>11</v>
      </c>
      <c r="B21" s="136" t="s">
        <v>192</v>
      </c>
      <c r="E21" s="426"/>
      <c r="G21" s="426"/>
      <c r="H21" s="426"/>
      <c r="I21" s="390">
        <f>'AD-6'!E36</f>
        <v>8378423.1055796882</v>
      </c>
      <c r="J21" s="352"/>
      <c r="K21" s="438" t="str">
        <f>"AD-6; Line "&amp;'AD-6'!A36</f>
        <v>AD-6; Line 23</v>
      </c>
      <c r="L21" s="119">
        <f t="shared" si="1"/>
        <v>11</v>
      </c>
    </row>
    <row r="22" spans="1:13">
      <c r="A22" s="119">
        <f t="shared" si="0"/>
        <v>12</v>
      </c>
      <c r="E22" s="426"/>
      <c r="G22" s="426"/>
      <c r="H22" s="426"/>
      <c r="I22" s="375"/>
      <c r="J22" s="352"/>
      <c r="K22" s="438"/>
      <c r="L22" s="119">
        <f t="shared" si="1"/>
        <v>12</v>
      </c>
    </row>
    <row r="23" spans="1:13" ht="18.75">
      <c r="A23" s="119">
        <f t="shared" si="0"/>
        <v>13</v>
      </c>
      <c r="B23" s="136" t="s">
        <v>193</v>
      </c>
      <c r="E23" s="426"/>
      <c r="G23" s="426"/>
      <c r="H23" s="426"/>
      <c r="I23" s="390">
        <f>'AD-7'!E32</f>
        <v>0</v>
      </c>
      <c r="J23" s="352"/>
      <c r="K23" s="440" t="str">
        <f>"AD-7; Line "&amp;'AD-7'!A32</f>
        <v>AD-7; Line 18</v>
      </c>
      <c r="L23" s="119">
        <f t="shared" si="1"/>
        <v>13</v>
      </c>
    </row>
    <row r="24" spans="1:13">
      <c r="A24" s="119">
        <f t="shared" si="0"/>
        <v>14</v>
      </c>
      <c r="E24" s="360"/>
      <c r="G24" s="360"/>
      <c r="H24" s="355"/>
      <c r="I24" s="360"/>
      <c r="J24" s="355"/>
      <c r="K24" s="439"/>
      <c r="L24" s="119">
        <f t="shared" si="1"/>
        <v>14</v>
      </c>
    </row>
    <row r="25" spans="1:13" ht="18.75">
      <c r="A25" s="119">
        <f t="shared" si="0"/>
        <v>15</v>
      </c>
      <c r="B25" s="136" t="s">
        <v>194</v>
      </c>
      <c r="C25" s="119" t="s">
        <v>921</v>
      </c>
      <c r="D25" s="193"/>
      <c r="E25" s="389">
        <f>'AD-8'!C14</f>
        <v>125194.79648999999</v>
      </c>
      <c r="F25" s="110"/>
      <c r="G25" s="389">
        <f>'AD-8'!C16</f>
        <v>236259.08225000006</v>
      </c>
      <c r="H25" s="355"/>
      <c r="I25" s="360">
        <f>(E25+G25)/2</f>
        <v>180726.93937000004</v>
      </c>
      <c r="J25" s="392"/>
      <c r="K25" s="440" t="str">
        <f>"AD-8; Line "&amp;'AD-8'!A19</f>
        <v>AD-8; Line 6</v>
      </c>
      <c r="L25" s="119">
        <f t="shared" si="1"/>
        <v>15</v>
      </c>
    </row>
    <row r="26" spans="1:13">
      <c r="A26" s="119">
        <f t="shared" si="0"/>
        <v>16</v>
      </c>
      <c r="E26" s="360"/>
      <c r="G26" s="360"/>
      <c r="H26" s="355"/>
      <c r="I26" s="360"/>
      <c r="J26" s="355"/>
      <c r="K26" s="439"/>
      <c r="L26" s="119">
        <f t="shared" si="1"/>
        <v>16</v>
      </c>
    </row>
    <row r="27" spans="1:13" ht="18.75">
      <c r="A27" s="119">
        <f t="shared" si="0"/>
        <v>17</v>
      </c>
      <c r="B27" s="136" t="s">
        <v>922</v>
      </c>
      <c r="C27" s="119" t="s">
        <v>921</v>
      </c>
      <c r="E27" s="389">
        <f>'AD-9'!C14</f>
        <v>614792.31672999891</v>
      </c>
      <c r="F27" s="110"/>
      <c r="G27" s="389">
        <f>'AD-9'!C16</f>
        <v>651436.10081000126</v>
      </c>
      <c r="H27" s="426"/>
      <c r="I27" s="360">
        <f>(E27+G27)/2</f>
        <v>633114.20877000014</v>
      </c>
      <c r="J27" s="355"/>
      <c r="K27" s="438" t="str">
        <f>"AD-9; Line "&amp;'AD-9'!A19</f>
        <v>AD-9; Line 6</v>
      </c>
      <c r="L27" s="119">
        <f t="shared" si="1"/>
        <v>17</v>
      </c>
    </row>
    <row r="28" spans="1:13">
      <c r="A28" s="119">
        <f t="shared" si="0"/>
        <v>18</v>
      </c>
      <c r="E28" s="361"/>
      <c r="F28" s="110"/>
      <c r="G28" s="361"/>
      <c r="H28" s="355"/>
      <c r="I28" s="361"/>
      <c r="J28" s="355"/>
      <c r="K28" s="438"/>
      <c r="L28" s="119">
        <f t="shared" si="1"/>
        <v>18</v>
      </c>
    </row>
    <row r="29" spans="1:13" ht="18.75">
      <c r="A29" s="119">
        <f t="shared" si="0"/>
        <v>19</v>
      </c>
      <c r="B29" s="136" t="s">
        <v>195</v>
      </c>
      <c r="E29" s="389">
        <f>'AD-10'!D15</f>
        <v>1812002.4911979998</v>
      </c>
      <c r="F29" s="110"/>
      <c r="G29" s="389">
        <f>'AD-10'!D19</f>
        <v>1958808.0183976002</v>
      </c>
      <c r="H29" s="426"/>
      <c r="I29" s="1107">
        <f>(E29+G29)/2</f>
        <v>1885405.2547978</v>
      </c>
      <c r="J29" s="355"/>
      <c r="K29" s="438" t="str">
        <f>"AD-10; Line "&amp;'AD-10'!A22</f>
        <v>AD-10; Line 10</v>
      </c>
      <c r="L29" s="119">
        <f t="shared" si="1"/>
        <v>19</v>
      </c>
    </row>
    <row r="30" spans="1:13">
      <c r="A30" s="119">
        <f t="shared" si="0"/>
        <v>20</v>
      </c>
      <c r="E30" s="360"/>
      <c r="F30" s="110"/>
      <c r="G30" s="360"/>
      <c r="H30" s="355"/>
      <c r="I30" s="360"/>
      <c r="J30" s="355"/>
      <c r="K30" s="437"/>
      <c r="L30" s="119">
        <f t="shared" si="1"/>
        <v>20</v>
      </c>
    </row>
    <row r="31" spans="1:13" ht="16.5" thickBot="1">
      <c r="A31" s="119">
        <f t="shared" si="0"/>
        <v>21</v>
      </c>
      <c r="B31" s="136" t="s">
        <v>196</v>
      </c>
      <c r="E31" s="349"/>
      <c r="F31" s="441"/>
      <c r="G31" s="349"/>
      <c r="H31" s="347"/>
      <c r="I31" s="348">
        <f>I11+I13+I15+I17+I19+I21+I23+I25+I27+I29</f>
        <v>23720731.311114725</v>
      </c>
      <c r="J31" s="352"/>
      <c r="K31" s="437" t="str">
        <f>"Sum Lines "&amp;A11&amp;" thru "&amp;A29</f>
        <v>Sum Lines 1 thru 19</v>
      </c>
      <c r="L31" s="119">
        <f t="shared" si="1"/>
        <v>21</v>
      </c>
      <c r="M31" s="442"/>
    </row>
    <row r="32" spans="1:13" ht="16.5" thickTop="1">
      <c r="A32" s="119">
        <f t="shared" si="0"/>
        <v>22</v>
      </c>
      <c r="E32" s="443"/>
      <c r="G32" s="443"/>
      <c r="H32" s="354"/>
      <c r="I32" s="443"/>
      <c r="J32" s="354"/>
      <c r="K32" s="437" t="s">
        <v>185</v>
      </c>
      <c r="L32" s="119">
        <f t="shared" si="1"/>
        <v>22</v>
      </c>
    </row>
    <row r="33" spans="1:13">
      <c r="A33" s="119">
        <f t="shared" si="0"/>
        <v>23</v>
      </c>
      <c r="B33" s="136" t="s">
        <v>197</v>
      </c>
      <c r="E33" s="444"/>
      <c r="G33" s="444"/>
      <c r="H33" s="354"/>
      <c r="I33" s="1022">
        <f>'Stmt AI'!E27</f>
        <v>0.1045186789759834</v>
      </c>
      <c r="J33" s="354"/>
      <c r="K33" s="437" t="str">
        <f>"Statement AI; Line "&amp;'Stmt AI'!A27</f>
        <v>Statement AI; Line 17</v>
      </c>
      <c r="L33" s="119">
        <f t="shared" si="1"/>
        <v>23</v>
      </c>
    </row>
    <row r="34" spans="1:13">
      <c r="A34" s="119">
        <f t="shared" si="0"/>
        <v>24</v>
      </c>
      <c r="E34" s="443"/>
      <c r="G34" s="443"/>
      <c r="H34" s="354"/>
      <c r="I34" s="443"/>
      <c r="J34" s="354"/>
      <c r="K34" s="437"/>
      <c r="L34" s="119">
        <f t="shared" si="1"/>
        <v>24</v>
      </c>
    </row>
    <row r="35" spans="1:13">
      <c r="A35" s="119">
        <f t="shared" si="0"/>
        <v>25</v>
      </c>
      <c r="B35" s="136" t="s">
        <v>198</v>
      </c>
      <c r="E35" s="183"/>
      <c r="F35" s="183"/>
      <c r="G35" s="183"/>
      <c r="H35" s="445"/>
      <c r="I35" s="364">
        <f>I21+I23</f>
        <v>8378423.1055796882</v>
      </c>
      <c r="J35" s="352"/>
      <c r="K35" s="446" t="str">
        <f>"Line "&amp;A21&amp;" + Line "&amp;A23</f>
        <v>Line 11 + Line 13</v>
      </c>
      <c r="L35" s="119">
        <f t="shared" si="1"/>
        <v>25</v>
      </c>
    </row>
    <row r="36" spans="1:13">
      <c r="A36" s="119">
        <f t="shared" si="0"/>
        <v>26</v>
      </c>
      <c r="E36" s="443"/>
      <c r="G36" s="443"/>
      <c r="H36" s="354"/>
      <c r="I36" s="443"/>
      <c r="J36" s="354"/>
      <c r="K36" s="437"/>
      <c r="L36" s="119">
        <f t="shared" si="1"/>
        <v>26</v>
      </c>
    </row>
    <row r="37" spans="1:13">
      <c r="A37" s="119">
        <f t="shared" si="0"/>
        <v>27</v>
      </c>
      <c r="B37" s="136" t="s">
        <v>199</v>
      </c>
      <c r="E37" s="189"/>
      <c r="G37" s="189"/>
      <c r="H37" s="354"/>
      <c r="I37" s="447">
        <f>I25*I33</f>
        <v>18889.340958325047</v>
      </c>
      <c r="J37" s="352"/>
      <c r="K37" s="446" t="str">
        <f>"Line "&amp;A25&amp;" x Line "&amp;A33</f>
        <v>Line 15 x Line 23</v>
      </c>
      <c r="L37" s="119">
        <f t="shared" si="1"/>
        <v>27</v>
      </c>
      <c r="M37" s="442"/>
    </row>
    <row r="38" spans="1:13">
      <c r="A38" s="119">
        <f t="shared" si="0"/>
        <v>28</v>
      </c>
      <c r="E38" s="443"/>
      <c r="G38" s="443"/>
      <c r="H38" s="354"/>
      <c r="I38" s="448"/>
      <c r="J38" s="354"/>
      <c r="K38" s="437"/>
      <c r="L38" s="119">
        <f t="shared" si="1"/>
        <v>28</v>
      </c>
    </row>
    <row r="39" spans="1:13">
      <c r="A39" s="119">
        <f t="shared" si="0"/>
        <v>29</v>
      </c>
      <c r="B39" s="136" t="s">
        <v>200</v>
      </c>
      <c r="E39" s="189"/>
      <c r="G39" s="189"/>
      <c r="H39" s="354"/>
      <c r="I39" s="447">
        <f>I27*I33</f>
        <v>66172.260741565377</v>
      </c>
      <c r="J39" s="354"/>
      <c r="K39" s="446" t="str">
        <f>"Line "&amp;A27&amp;" x Line "&amp;A33</f>
        <v>Line 17 x Line 23</v>
      </c>
      <c r="L39" s="119">
        <f t="shared" si="1"/>
        <v>29</v>
      </c>
      <c r="M39" s="442"/>
    </row>
    <row r="40" spans="1:13">
      <c r="A40" s="119">
        <f t="shared" si="0"/>
        <v>30</v>
      </c>
      <c r="E40" s="189"/>
      <c r="G40" s="189"/>
      <c r="H40" s="354"/>
      <c r="I40" s="449"/>
      <c r="J40" s="354"/>
      <c r="K40" s="437"/>
      <c r="L40" s="119">
        <f t="shared" si="1"/>
        <v>30</v>
      </c>
      <c r="M40" s="442"/>
    </row>
    <row r="41" spans="1:13">
      <c r="A41" s="119">
        <f t="shared" si="0"/>
        <v>31</v>
      </c>
      <c r="B41" s="136" t="s">
        <v>201</v>
      </c>
      <c r="E41" s="189"/>
      <c r="G41" s="189"/>
      <c r="H41" s="354"/>
      <c r="I41" s="1108">
        <f>I29*I33</f>
        <v>197060.06656584344</v>
      </c>
      <c r="J41" s="354"/>
      <c r="K41" s="446" t="str">
        <f>"Line "&amp;A29&amp;" x Line "&amp;A33</f>
        <v>Line 19 x Line 23</v>
      </c>
      <c r="L41" s="119">
        <f t="shared" si="1"/>
        <v>31</v>
      </c>
      <c r="M41" s="442"/>
    </row>
    <row r="42" spans="1:13">
      <c r="A42" s="119">
        <f t="shared" si="0"/>
        <v>32</v>
      </c>
      <c r="B42" s="136" t="s">
        <v>185</v>
      </c>
      <c r="E42" s="450"/>
      <c r="G42" s="450"/>
      <c r="H42" s="354"/>
      <c r="I42" s="451"/>
      <c r="J42" s="354"/>
      <c r="K42" s="437"/>
      <c r="L42" s="119">
        <f t="shared" si="1"/>
        <v>32</v>
      </c>
    </row>
    <row r="43" spans="1:13" ht="16.5" thickBot="1">
      <c r="A43" s="119">
        <f t="shared" si="0"/>
        <v>33</v>
      </c>
      <c r="B43" s="136" t="s">
        <v>202</v>
      </c>
      <c r="E43" s="189"/>
      <c r="G43" s="189"/>
      <c r="H43" s="452"/>
      <c r="I43" s="453">
        <f>I35+I37+I39+I41</f>
        <v>8660544.7738454212</v>
      </c>
      <c r="J43" s="352"/>
      <c r="K43" s="446" t="str">
        <f>"Sum Lines "&amp;A35&amp;" thru "&amp;A41</f>
        <v>Sum Lines 25 thru 31</v>
      </c>
      <c r="L43" s="119">
        <f t="shared" si="1"/>
        <v>33</v>
      </c>
      <c r="M43" s="442"/>
    </row>
    <row r="44" spans="1:13" ht="16.5" thickTop="1">
      <c r="A44" s="119">
        <f t="shared" si="0"/>
        <v>34</v>
      </c>
      <c r="E44" s="454"/>
      <c r="G44" s="454"/>
      <c r="H44" s="452"/>
      <c r="I44" s="455"/>
      <c r="J44" s="452"/>
      <c r="K44" s="437"/>
      <c r="L44" s="119">
        <f t="shared" si="1"/>
        <v>34</v>
      </c>
    </row>
    <row r="45" spans="1:13" ht="19.5" thickBot="1">
      <c r="A45" s="119">
        <f t="shared" si="0"/>
        <v>35</v>
      </c>
      <c r="B45" s="136" t="s">
        <v>923</v>
      </c>
      <c r="E45" s="456"/>
      <c r="G45" s="456"/>
      <c r="H45" s="452"/>
      <c r="I45" s="457">
        <f>I43/I31</f>
        <v>0.3651044590597165</v>
      </c>
      <c r="J45" s="352"/>
      <c r="K45" s="446" t="str">
        <f>"Line "&amp;A43&amp;" / Line "&amp;A31</f>
        <v>Line 33 / Line 21</v>
      </c>
      <c r="L45" s="119">
        <f t="shared" si="1"/>
        <v>35</v>
      </c>
      <c r="M45" s="442"/>
    </row>
    <row r="46" spans="1:13" ht="16.5" thickTop="1">
      <c r="E46" s="109"/>
      <c r="G46" s="458"/>
      <c r="H46" s="332"/>
      <c r="I46" s="332"/>
      <c r="J46" s="332"/>
      <c r="K46" s="119"/>
    </row>
    <row r="47" spans="1:13">
      <c r="E47" s="109"/>
      <c r="G47" s="458"/>
      <c r="H47" s="332"/>
      <c r="I47" s="332"/>
      <c r="J47" s="332"/>
      <c r="K47" s="119"/>
    </row>
    <row r="48" spans="1:13" ht="18.75">
      <c r="A48" s="372">
        <v>1</v>
      </c>
      <c r="B48" s="16" t="s">
        <v>203</v>
      </c>
      <c r="E48" s="109"/>
      <c r="G48" s="458"/>
      <c r="H48" s="332"/>
      <c r="I48" s="332"/>
      <c r="J48" s="332"/>
      <c r="K48" s="119"/>
    </row>
    <row r="49" spans="1:11" ht="18.75">
      <c r="A49" s="135">
        <v>2</v>
      </c>
      <c r="B49" s="16" t="s">
        <v>204</v>
      </c>
      <c r="E49" s="109"/>
      <c r="G49" s="458"/>
      <c r="H49" s="332"/>
      <c r="I49" s="332"/>
      <c r="J49" s="332"/>
      <c r="K49" s="119"/>
    </row>
    <row r="50" spans="1:11" ht="18.75">
      <c r="A50" s="135">
        <v>3</v>
      </c>
      <c r="B50" s="16" t="s">
        <v>205</v>
      </c>
    </row>
    <row r="51" spans="1:11" ht="18.75">
      <c r="A51" s="135">
        <v>4</v>
      </c>
      <c r="B51" s="16" t="s">
        <v>206</v>
      </c>
    </row>
    <row r="52" spans="1:11" ht="18.75">
      <c r="A52" s="135">
        <v>5</v>
      </c>
      <c r="B52" s="16" t="s">
        <v>207</v>
      </c>
    </row>
    <row r="53" spans="1:11" ht="18.75">
      <c r="A53" s="135"/>
    </row>
    <row r="54" spans="1:11" ht="18.75">
      <c r="A54" s="135"/>
      <c r="B54" s="110"/>
    </row>
    <row r="55" spans="1:11" ht="18.75">
      <c r="A55" s="135"/>
    </row>
    <row r="77" spans="7:7">
      <c r="G77" s="119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8" orientation="portrait" r:id="rId1"/>
  <headerFooter scaleWithDoc="0">
    <oddFooter>&amp;C&amp;"Times New Roman,Regular"&amp;10AD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I47"/>
  <sheetViews>
    <sheetView zoomScale="80" zoomScaleNormal="80" workbookViewId="0">
      <selection activeCell="E14" sqref="E14:E26"/>
    </sheetView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15" customWidth="1"/>
    <col min="5" max="5" width="18.5703125" style="110" customWidth="1"/>
    <col min="6" max="6" width="62.570312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42578125" style="110" customWidth="1"/>
    <col min="14" max="16384" width="9.140625" style="110"/>
  </cols>
  <sheetData>
    <row r="2" spans="1:9">
      <c r="B2" s="1287" t="s">
        <v>0</v>
      </c>
      <c r="C2" s="1287"/>
      <c r="D2" s="1287"/>
      <c r="E2" s="1287"/>
      <c r="F2" s="1287"/>
    </row>
    <row r="3" spans="1:9">
      <c r="B3" s="1287" t="s">
        <v>208</v>
      </c>
      <c r="C3" s="1287"/>
      <c r="D3" s="1287"/>
      <c r="E3" s="1287"/>
      <c r="F3" s="1287"/>
    </row>
    <row r="4" spans="1:9">
      <c r="B4" s="1287" t="s">
        <v>209</v>
      </c>
      <c r="C4" s="1287"/>
      <c r="D4" s="1287"/>
      <c r="E4" s="1287"/>
      <c r="F4" s="1287"/>
    </row>
    <row r="5" spans="1:9">
      <c r="B5" s="1287" t="str">
        <f>"BASE PERIOD / TRUE UP PERIOD - 12/31/"&amp;Automation!$B$3&amp;" PER BOOK"</f>
        <v>BASE PERIOD / TRUE UP PERIOD - 12/31/2024 PER BOOK</v>
      </c>
      <c r="C5" s="1287"/>
      <c r="D5" s="1287"/>
      <c r="E5" s="1287"/>
      <c r="F5" s="1287"/>
    </row>
    <row r="6" spans="1:9">
      <c r="B6" s="1291" t="s">
        <v>3</v>
      </c>
      <c r="C6" s="1291"/>
      <c r="D6" s="1291"/>
      <c r="E6" s="1291"/>
      <c r="F6" s="1291"/>
    </row>
    <row r="7" spans="1:9">
      <c r="B7" s="111"/>
      <c r="C7" s="112"/>
      <c r="D7" s="113"/>
      <c r="E7" s="111"/>
      <c r="F7" s="111"/>
    </row>
    <row r="8" spans="1:9">
      <c r="B8" s="1287" t="s">
        <v>210</v>
      </c>
      <c r="C8" s="1287"/>
      <c r="D8" s="1287"/>
      <c r="E8" s="1287"/>
      <c r="F8" s="1287"/>
    </row>
    <row r="10" spans="1:9">
      <c r="B10" s="857"/>
      <c r="C10" s="858" t="s">
        <v>80</v>
      </c>
      <c r="D10" s="859"/>
      <c r="E10" s="858"/>
      <c r="F10" s="859"/>
    </row>
    <row r="11" spans="1:9">
      <c r="B11" s="116"/>
      <c r="C11" s="109" t="s">
        <v>211</v>
      </c>
      <c r="D11" s="116"/>
      <c r="E11" s="117" t="s">
        <v>211</v>
      </c>
      <c r="F11" s="118"/>
    </row>
    <row r="12" spans="1:9">
      <c r="A12" s="119" t="s">
        <v>4</v>
      </c>
      <c r="B12" s="120"/>
      <c r="C12" s="109" t="s">
        <v>212</v>
      </c>
      <c r="D12" s="116"/>
      <c r="E12" s="121" t="s">
        <v>212</v>
      </c>
      <c r="F12" s="118"/>
      <c r="G12" s="119" t="s">
        <v>4</v>
      </c>
    </row>
    <row r="13" spans="1:9" ht="18.75">
      <c r="A13" s="119" t="s">
        <v>5</v>
      </c>
      <c r="B13" s="1012" t="s">
        <v>123</v>
      </c>
      <c r="C13" s="1109" t="s">
        <v>213</v>
      </c>
      <c r="D13" s="1012" t="s">
        <v>8</v>
      </c>
      <c r="E13" s="1110" t="s">
        <v>214</v>
      </c>
      <c r="F13" s="1012" t="s">
        <v>8</v>
      </c>
      <c r="G13" s="119" t="s">
        <v>5</v>
      </c>
    </row>
    <row r="14" spans="1:9">
      <c r="A14" s="119">
        <v>1</v>
      </c>
      <c r="B14" s="122" t="str">
        <f>"Dec-"&amp;RIGHT(Automation!$B$3-1,2)</f>
        <v>Dec-23</v>
      </c>
      <c r="C14" s="123">
        <v>575385.30310999975</v>
      </c>
      <c r="D14" s="124" t="s">
        <v>215</v>
      </c>
      <c r="E14" s="125">
        <v>591049.8386799997</v>
      </c>
      <c r="F14" s="124" t="s">
        <v>924</v>
      </c>
      <c r="G14" s="119">
        <f>A14</f>
        <v>1</v>
      </c>
      <c r="H14" s="126"/>
      <c r="I14" s="126"/>
    </row>
    <row r="15" spans="1:9">
      <c r="A15" s="119">
        <f>A14+1</f>
        <v>2</v>
      </c>
      <c r="B15" s="122" t="str">
        <f>"Jan-"&amp;RIGHT(Automation!$B$3,2)</f>
        <v>Jan-24</v>
      </c>
      <c r="C15" s="127">
        <v>575890.89097999991</v>
      </c>
      <c r="D15" s="128"/>
      <c r="E15" s="129">
        <v>591555.42654999986</v>
      </c>
      <c r="F15" s="128"/>
      <c r="G15" s="119">
        <f>G14+1</f>
        <v>2</v>
      </c>
    </row>
    <row r="16" spans="1:9">
      <c r="A16" s="119">
        <f t="shared" ref="A16:A32" si="0">A15+1</f>
        <v>3</v>
      </c>
      <c r="B16" s="122" t="s">
        <v>216</v>
      </c>
      <c r="C16" s="127">
        <v>576338.16654000001</v>
      </c>
      <c r="D16" s="128"/>
      <c r="E16" s="129">
        <v>592002.70210999995</v>
      </c>
      <c r="F16" s="128"/>
      <c r="G16" s="119">
        <f t="shared" ref="G16:G32" si="1">G15+1</f>
        <v>3</v>
      </c>
    </row>
    <row r="17" spans="1:9">
      <c r="A17" s="119">
        <f t="shared" si="0"/>
        <v>4</v>
      </c>
      <c r="B17" s="122" t="s">
        <v>217</v>
      </c>
      <c r="C17" s="127">
        <v>576715.40640999994</v>
      </c>
      <c r="D17" s="128"/>
      <c r="E17" s="129">
        <v>592379.94197999989</v>
      </c>
      <c r="F17" s="128"/>
      <c r="G17" s="119">
        <f t="shared" si="1"/>
        <v>4</v>
      </c>
    </row>
    <row r="18" spans="1:9">
      <c r="A18" s="119">
        <f t="shared" si="0"/>
        <v>5</v>
      </c>
      <c r="B18" s="122" t="s">
        <v>218</v>
      </c>
      <c r="C18" s="127">
        <v>577964.17983999988</v>
      </c>
      <c r="D18" s="128"/>
      <c r="E18" s="129">
        <v>593628.71540999983</v>
      </c>
      <c r="F18" s="128"/>
      <c r="G18" s="119">
        <f t="shared" si="1"/>
        <v>5</v>
      </c>
    </row>
    <row r="19" spans="1:9">
      <c r="A19" s="119">
        <f t="shared" si="0"/>
        <v>6</v>
      </c>
      <c r="B19" s="122" t="s">
        <v>160</v>
      </c>
      <c r="C19" s="127">
        <v>577722.8820499999</v>
      </c>
      <c r="D19" s="128"/>
      <c r="E19" s="129">
        <v>593387.41761999985</v>
      </c>
      <c r="F19" s="128"/>
      <c r="G19" s="119">
        <f t="shared" si="1"/>
        <v>6</v>
      </c>
    </row>
    <row r="20" spans="1:9">
      <c r="A20" s="119">
        <f>A19+1</f>
        <v>7</v>
      </c>
      <c r="B20" s="122" t="s">
        <v>219</v>
      </c>
      <c r="C20" s="127">
        <v>577894.59728999995</v>
      </c>
      <c r="D20" s="128"/>
      <c r="E20" s="129">
        <v>593559.1328599999</v>
      </c>
      <c r="F20" s="128"/>
      <c r="G20" s="119">
        <f>G19+1</f>
        <v>7</v>
      </c>
    </row>
    <row r="21" spans="1:9">
      <c r="A21" s="119">
        <f t="shared" si="0"/>
        <v>8</v>
      </c>
      <c r="B21" s="122" t="s">
        <v>220</v>
      </c>
      <c r="C21" s="127">
        <v>577906.93120999995</v>
      </c>
      <c r="D21" s="128"/>
      <c r="E21" s="129">
        <v>593571.4667799999</v>
      </c>
      <c r="F21" s="128"/>
      <c r="G21" s="119">
        <f t="shared" si="1"/>
        <v>8</v>
      </c>
    </row>
    <row r="22" spans="1:9">
      <c r="A22" s="119">
        <f t="shared" si="0"/>
        <v>9</v>
      </c>
      <c r="B22" s="122" t="s">
        <v>221</v>
      </c>
      <c r="C22" s="127">
        <v>577941.1466199999</v>
      </c>
      <c r="D22" s="128"/>
      <c r="E22" s="129">
        <v>593605.68218999985</v>
      </c>
      <c r="F22" s="128"/>
      <c r="G22" s="119">
        <f t="shared" si="1"/>
        <v>9</v>
      </c>
    </row>
    <row r="23" spans="1:9">
      <c r="A23" s="119">
        <f t="shared" si="0"/>
        <v>10</v>
      </c>
      <c r="B23" s="122" t="s">
        <v>222</v>
      </c>
      <c r="C23" s="127">
        <v>577962.10829</v>
      </c>
      <c r="D23" s="128"/>
      <c r="E23" s="129">
        <v>593626.64385999995</v>
      </c>
      <c r="F23" s="128"/>
      <c r="G23" s="119">
        <f t="shared" si="1"/>
        <v>10</v>
      </c>
    </row>
    <row r="24" spans="1:9">
      <c r="A24" s="119">
        <f t="shared" si="0"/>
        <v>11</v>
      </c>
      <c r="B24" s="122" t="s">
        <v>223</v>
      </c>
      <c r="C24" s="127">
        <v>578909.32411999989</v>
      </c>
      <c r="D24" s="128"/>
      <c r="E24" s="129">
        <v>594573.69419999991</v>
      </c>
      <c r="F24" s="128"/>
      <c r="G24" s="119">
        <f t="shared" si="1"/>
        <v>11</v>
      </c>
    </row>
    <row r="25" spans="1:9">
      <c r="A25" s="119">
        <f t="shared" si="0"/>
        <v>12</v>
      </c>
      <c r="B25" s="122" t="s">
        <v>224</v>
      </c>
      <c r="C25" s="127">
        <v>579438.53095999989</v>
      </c>
      <c r="D25" s="128"/>
      <c r="E25" s="129">
        <v>595102.90103999991</v>
      </c>
      <c r="F25" s="128"/>
      <c r="G25" s="119">
        <f t="shared" si="1"/>
        <v>12</v>
      </c>
    </row>
    <row r="26" spans="1:9">
      <c r="A26" s="119">
        <f t="shared" si="0"/>
        <v>13</v>
      </c>
      <c r="B26" s="1029" t="str">
        <f>"Dec-"&amp;RIGHT(Automation!$B$3,2)</f>
        <v>Dec-24</v>
      </c>
      <c r="C26" s="1111">
        <v>581614.31114999996</v>
      </c>
      <c r="D26" s="124" t="s">
        <v>215</v>
      </c>
      <c r="E26" s="1111">
        <v>597278.79622999998</v>
      </c>
      <c r="F26" s="124" t="s">
        <v>925</v>
      </c>
      <c r="G26" s="119">
        <f t="shared" si="1"/>
        <v>13</v>
      </c>
      <c r="I26" s="126"/>
    </row>
    <row r="27" spans="1:9">
      <c r="A27" s="119">
        <f t="shared" si="0"/>
        <v>14</v>
      </c>
      <c r="B27" s="130"/>
      <c r="C27" s="924"/>
      <c r="D27" s="857"/>
      <c r="E27" s="131"/>
      <c r="F27" s="857"/>
      <c r="G27" s="119">
        <f t="shared" si="1"/>
        <v>14</v>
      </c>
    </row>
    <row r="28" spans="1:9">
      <c r="A28" s="119">
        <f t="shared" si="0"/>
        <v>15</v>
      </c>
      <c r="B28" s="130" t="s">
        <v>225</v>
      </c>
      <c r="C28" s="132">
        <f>SUM(C14:C26)</f>
        <v>7511683.7785699982</v>
      </c>
      <c r="D28" s="158" t="str">
        <f>"Sum Lines "&amp;A14&amp;" thru "&amp;A26</f>
        <v>Sum Lines 1 thru 13</v>
      </c>
      <c r="E28" s="132">
        <f>SUM(E14:E26)</f>
        <v>7715322.3595099989</v>
      </c>
      <c r="F28" s="158" t="str">
        <f>"Sum Lines "&amp;A14&amp;" thru "&amp;A26</f>
        <v>Sum Lines 1 thru 13</v>
      </c>
      <c r="G28" s="119">
        <f t="shared" si="1"/>
        <v>15</v>
      </c>
    </row>
    <row r="29" spans="1:9">
      <c r="A29" s="119">
        <f t="shared" si="0"/>
        <v>16</v>
      </c>
      <c r="B29" s="1013"/>
      <c r="C29" s="1112"/>
      <c r="D29" s="1013"/>
      <c r="E29" s="1112"/>
      <c r="F29" s="1013"/>
      <c r="G29" s="119">
        <f t="shared" si="1"/>
        <v>16</v>
      </c>
    </row>
    <row r="30" spans="1:9">
      <c r="A30" s="119">
        <f t="shared" si="0"/>
        <v>17</v>
      </c>
      <c r="B30" s="130"/>
      <c r="C30" s="132"/>
      <c r="D30" s="130"/>
      <c r="E30" s="132"/>
      <c r="F30" s="130"/>
      <c r="G30" s="119">
        <f t="shared" si="1"/>
        <v>17</v>
      </c>
    </row>
    <row r="31" spans="1:9">
      <c r="A31" s="119">
        <f t="shared" si="0"/>
        <v>18</v>
      </c>
      <c r="B31" s="130" t="s">
        <v>226</v>
      </c>
      <c r="C31" s="132">
        <f>C28/13</f>
        <v>577821.82912076905</v>
      </c>
      <c r="D31" s="158" t="str">
        <f>"Average of Lines "&amp;A14&amp;" thru "&amp;A26</f>
        <v>Average of Lines 1 thru 13</v>
      </c>
      <c r="E31" s="132">
        <f>E28/13</f>
        <v>593486.33534692298</v>
      </c>
      <c r="F31" s="124" t="s">
        <v>926</v>
      </c>
      <c r="G31" s="119">
        <f t="shared" si="1"/>
        <v>18</v>
      </c>
      <c r="H31" s="126"/>
      <c r="I31" s="126"/>
    </row>
    <row r="32" spans="1:9">
      <c r="A32" s="119">
        <f t="shared" si="0"/>
        <v>19</v>
      </c>
      <c r="B32" s="1013"/>
      <c r="C32" s="1113"/>
      <c r="D32" s="1013"/>
      <c r="E32" s="1113"/>
      <c r="F32" s="1013"/>
      <c r="G32" s="119">
        <f t="shared" si="1"/>
        <v>19</v>
      </c>
    </row>
    <row r="33" spans="1:5">
      <c r="A33" s="119"/>
      <c r="C33" s="134"/>
      <c r="D33" s="110"/>
      <c r="E33" s="134"/>
    </row>
    <row r="34" spans="1:5">
      <c r="C34" s="134"/>
      <c r="D34" s="110"/>
      <c r="E34" s="134"/>
    </row>
    <row r="35" spans="1:5" ht="18.75">
      <c r="A35" s="135">
        <v>1</v>
      </c>
      <c r="B35" s="136" t="s">
        <v>227</v>
      </c>
      <c r="C35" s="134"/>
      <c r="D35" s="110"/>
      <c r="E35" s="134"/>
    </row>
    <row r="36" spans="1:5">
      <c r="B36" s="136" t="s">
        <v>228</v>
      </c>
      <c r="C36" s="134"/>
      <c r="D36" s="110"/>
      <c r="E36" s="134"/>
    </row>
    <row r="37" spans="1:5">
      <c r="C37" s="134"/>
      <c r="D37" s="110"/>
      <c r="E37" s="134"/>
    </row>
    <row r="38" spans="1:5">
      <c r="C38" s="134"/>
      <c r="D38" s="110"/>
      <c r="E38" s="134"/>
    </row>
    <row r="39" spans="1:5">
      <c r="C39" s="137"/>
      <c r="E39" s="134"/>
    </row>
    <row r="40" spans="1:5">
      <c r="C40" s="137"/>
      <c r="E40" s="134"/>
    </row>
    <row r="41" spans="1:5">
      <c r="C41" s="137"/>
      <c r="E41" s="134"/>
    </row>
    <row r="42" spans="1:5">
      <c r="C42" s="137"/>
      <c r="E42" s="134"/>
    </row>
    <row r="43" spans="1:5">
      <c r="C43" s="137"/>
      <c r="E43" s="134"/>
    </row>
    <row r="44" spans="1:5">
      <c r="C44" s="137"/>
      <c r="E44" s="134"/>
    </row>
    <row r="45" spans="1:5">
      <c r="C45" s="137"/>
      <c r="E45" s="134"/>
    </row>
    <row r="46" spans="1:5">
      <c r="C46" s="137"/>
      <c r="E46" s="134"/>
    </row>
    <row r="47" spans="1:5">
      <c r="C47" s="137"/>
      <c r="E47" s="134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H39"/>
  <sheetViews>
    <sheetView zoomScale="80" zoomScaleNormal="80" workbookViewId="0"/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15" customWidth="1"/>
    <col min="5" max="5" width="18.5703125" style="110" customWidth="1"/>
    <col min="6" max="6" width="62.570312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42578125" style="110" customWidth="1"/>
    <col min="14" max="16384" width="9.140625" style="110"/>
  </cols>
  <sheetData>
    <row r="2" spans="1:8">
      <c r="B2" s="1287" t="s">
        <v>0</v>
      </c>
      <c r="C2" s="1287"/>
      <c r="D2" s="1287"/>
      <c r="E2" s="1287"/>
      <c r="F2" s="1287"/>
    </row>
    <row r="3" spans="1:8">
      <c r="B3" s="1287" t="s">
        <v>208</v>
      </c>
      <c r="C3" s="1287"/>
      <c r="D3" s="1287"/>
      <c r="E3" s="1287"/>
      <c r="F3" s="1287"/>
    </row>
    <row r="4" spans="1:8">
      <c r="B4" s="1287" t="s">
        <v>209</v>
      </c>
      <c r="C4" s="1287"/>
      <c r="D4" s="1287"/>
      <c r="E4" s="1287"/>
      <c r="F4" s="1287"/>
    </row>
    <row r="5" spans="1:8">
      <c r="B5" s="1287" t="str">
        <f>"BASE PERIOD / TRUE UP PERIOD - 12/31/"&amp;Automation!$B$3&amp;" PER BOOK"</f>
        <v>BASE PERIOD / TRUE UP PERIOD - 12/31/2024 PER BOOK</v>
      </c>
      <c r="C5" s="1287"/>
      <c r="D5" s="1287"/>
      <c r="E5" s="1287"/>
      <c r="F5" s="1287"/>
    </row>
    <row r="6" spans="1:8">
      <c r="B6" s="1291" t="s">
        <v>3</v>
      </c>
      <c r="C6" s="1291"/>
      <c r="D6" s="1291"/>
      <c r="E6" s="1291"/>
      <c r="F6" s="1291"/>
    </row>
    <row r="7" spans="1:8">
      <c r="B7" s="111"/>
      <c r="C7" s="112"/>
      <c r="D7" s="113"/>
      <c r="E7" s="111"/>
      <c r="F7" s="111"/>
    </row>
    <row r="8" spans="1:8">
      <c r="B8" s="1287" t="s">
        <v>229</v>
      </c>
      <c r="C8" s="1287"/>
      <c r="D8" s="1287"/>
      <c r="E8" s="1287"/>
      <c r="F8" s="1287"/>
    </row>
    <row r="10" spans="1:8">
      <c r="B10" s="857"/>
      <c r="C10" s="858" t="s">
        <v>80</v>
      </c>
      <c r="D10" s="859"/>
      <c r="E10" s="858"/>
      <c r="F10" s="859"/>
    </row>
    <row r="11" spans="1:8">
      <c r="B11" s="116"/>
      <c r="C11" s="121" t="s">
        <v>230</v>
      </c>
      <c r="D11" s="116"/>
      <c r="E11" s="121" t="s">
        <v>230</v>
      </c>
      <c r="F11" s="116"/>
      <c r="H11" s="140"/>
    </row>
    <row r="12" spans="1:8">
      <c r="A12" s="119" t="s">
        <v>4</v>
      </c>
      <c r="B12" s="120"/>
      <c r="C12" s="109" t="s">
        <v>212</v>
      </c>
      <c r="D12" s="116"/>
      <c r="E12" s="121" t="s">
        <v>212</v>
      </c>
      <c r="F12" s="116"/>
      <c r="G12" s="119" t="s">
        <v>4</v>
      </c>
      <c r="H12" s="140"/>
    </row>
    <row r="13" spans="1:8" ht="18.75">
      <c r="A13" s="119" t="s">
        <v>5</v>
      </c>
      <c r="B13" s="1012" t="s">
        <v>123</v>
      </c>
      <c r="C13" s="1109" t="s">
        <v>213</v>
      </c>
      <c r="D13" s="1012" t="s">
        <v>8</v>
      </c>
      <c r="E13" s="1110" t="s">
        <v>214</v>
      </c>
      <c r="F13" s="1012" t="s">
        <v>8</v>
      </c>
      <c r="G13" s="119" t="s">
        <v>5</v>
      </c>
      <c r="H13" s="140"/>
    </row>
    <row r="14" spans="1:8">
      <c r="A14" s="119">
        <v>1</v>
      </c>
      <c r="B14" s="122" t="str">
        <f>"Dec-"&amp;RIGHT(Automation!$B$3-1,2)</f>
        <v>Dec-23</v>
      </c>
      <c r="C14" s="141">
        <v>0</v>
      </c>
      <c r="D14" s="124" t="s">
        <v>215</v>
      </c>
      <c r="E14" s="141">
        <v>0</v>
      </c>
      <c r="F14" s="124" t="s">
        <v>924</v>
      </c>
      <c r="G14" s="119">
        <f>A14</f>
        <v>1</v>
      </c>
      <c r="H14" s="126"/>
    </row>
    <row r="15" spans="1:8">
      <c r="A15" s="119">
        <f>A14+1</f>
        <v>2</v>
      </c>
      <c r="B15" s="122" t="str">
        <f>"Jan-"&amp;RIGHT(Automation!$B$3,2)</f>
        <v>Jan-24</v>
      </c>
      <c r="C15" s="142">
        <v>0</v>
      </c>
      <c r="D15" s="128"/>
      <c r="E15" s="142">
        <v>0</v>
      </c>
      <c r="F15" s="128"/>
      <c r="G15" s="119">
        <f>G14+1</f>
        <v>2</v>
      </c>
    </row>
    <row r="16" spans="1:8">
      <c r="A16" s="119">
        <f t="shared" ref="A16:A32" si="0">A15+1</f>
        <v>3</v>
      </c>
      <c r="B16" s="122" t="s">
        <v>216</v>
      </c>
      <c r="C16" s="142">
        <v>0</v>
      </c>
      <c r="D16" s="128"/>
      <c r="E16" s="142">
        <v>0</v>
      </c>
      <c r="F16" s="128"/>
      <c r="G16" s="119">
        <f t="shared" ref="G16:G32" si="1">G15+1</f>
        <v>3</v>
      </c>
    </row>
    <row r="17" spans="1:8">
      <c r="A17" s="119">
        <f t="shared" si="0"/>
        <v>4</v>
      </c>
      <c r="B17" s="122" t="s">
        <v>217</v>
      </c>
      <c r="C17" s="142">
        <v>0</v>
      </c>
      <c r="D17" s="128"/>
      <c r="E17" s="142">
        <v>0</v>
      </c>
      <c r="F17" s="128"/>
      <c r="G17" s="119">
        <f t="shared" si="1"/>
        <v>4</v>
      </c>
    </row>
    <row r="18" spans="1:8">
      <c r="A18" s="119">
        <f t="shared" si="0"/>
        <v>5</v>
      </c>
      <c r="B18" s="122" t="s">
        <v>218</v>
      </c>
      <c r="C18" s="142">
        <v>0</v>
      </c>
      <c r="D18" s="128"/>
      <c r="E18" s="142">
        <v>0</v>
      </c>
      <c r="F18" s="128"/>
      <c r="G18" s="119">
        <f t="shared" si="1"/>
        <v>5</v>
      </c>
    </row>
    <row r="19" spans="1:8">
      <c r="A19" s="119">
        <f t="shared" si="0"/>
        <v>6</v>
      </c>
      <c r="B19" s="122" t="s">
        <v>160</v>
      </c>
      <c r="C19" s="142">
        <v>0</v>
      </c>
      <c r="D19" s="128"/>
      <c r="E19" s="142">
        <v>0</v>
      </c>
      <c r="F19" s="128"/>
      <c r="G19" s="119">
        <f t="shared" si="1"/>
        <v>6</v>
      </c>
    </row>
    <row r="20" spans="1:8">
      <c r="A20" s="119">
        <f>A19+1</f>
        <v>7</v>
      </c>
      <c r="B20" s="122" t="s">
        <v>219</v>
      </c>
      <c r="C20" s="142">
        <v>0</v>
      </c>
      <c r="D20" s="128"/>
      <c r="E20" s="142">
        <v>0</v>
      </c>
      <c r="F20" s="128"/>
      <c r="G20" s="119">
        <f>G19+1</f>
        <v>7</v>
      </c>
    </row>
    <row r="21" spans="1:8">
      <c r="A21" s="119">
        <f t="shared" si="0"/>
        <v>8</v>
      </c>
      <c r="B21" s="122" t="s">
        <v>220</v>
      </c>
      <c r="C21" s="142">
        <v>0</v>
      </c>
      <c r="D21" s="128"/>
      <c r="E21" s="142">
        <v>0</v>
      </c>
      <c r="F21" s="128"/>
      <c r="G21" s="119">
        <f t="shared" si="1"/>
        <v>8</v>
      </c>
    </row>
    <row r="22" spans="1:8">
      <c r="A22" s="119">
        <f t="shared" si="0"/>
        <v>9</v>
      </c>
      <c r="B22" s="122" t="s">
        <v>221</v>
      </c>
      <c r="C22" s="142">
        <v>0</v>
      </c>
      <c r="D22" s="128"/>
      <c r="E22" s="142">
        <v>0</v>
      </c>
      <c r="F22" s="128"/>
      <c r="G22" s="119">
        <f t="shared" si="1"/>
        <v>9</v>
      </c>
    </row>
    <row r="23" spans="1:8">
      <c r="A23" s="119">
        <f t="shared" si="0"/>
        <v>10</v>
      </c>
      <c r="B23" s="122" t="s">
        <v>222</v>
      </c>
      <c r="C23" s="142">
        <v>0</v>
      </c>
      <c r="D23" s="128"/>
      <c r="E23" s="142">
        <v>0</v>
      </c>
      <c r="F23" s="128"/>
      <c r="G23" s="119">
        <f t="shared" si="1"/>
        <v>10</v>
      </c>
    </row>
    <row r="24" spans="1:8">
      <c r="A24" s="119">
        <f t="shared" si="0"/>
        <v>11</v>
      </c>
      <c r="B24" s="122" t="s">
        <v>223</v>
      </c>
      <c r="C24" s="142">
        <v>0</v>
      </c>
      <c r="D24" s="128"/>
      <c r="E24" s="142">
        <v>0</v>
      </c>
      <c r="F24" s="128"/>
      <c r="G24" s="119">
        <f t="shared" si="1"/>
        <v>11</v>
      </c>
    </row>
    <row r="25" spans="1:8">
      <c r="A25" s="119">
        <f t="shared" si="0"/>
        <v>12</v>
      </c>
      <c r="B25" s="122" t="s">
        <v>224</v>
      </c>
      <c r="C25" s="142">
        <v>0</v>
      </c>
      <c r="D25" s="128"/>
      <c r="E25" s="142">
        <v>0</v>
      </c>
      <c r="F25" s="128"/>
      <c r="G25" s="119">
        <f t="shared" si="1"/>
        <v>12</v>
      </c>
    </row>
    <row r="26" spans="1:8">
      <c r="A26" s="119">
        <f t="shared" si="0"/>
        <v>13</v>
      </c>
      <c r="B26" s="1029" t="str">
        <f>"Dec-"&amp;RIGHT(Automation!$B$3,2)</f>
        <v>Dec-24</v>
      </c>
      <c r="C26" s="142">
        <v>0</v>
      </c>
      <c r="D26" s="1114" t="s">
        <v>215</v>
      </c>
      <c r="E26" s="1115">
        <v>0</v>
      </c>
      <c r="F26" s="124" t="s">
        <v>925</v>
      </c>
      <c r="G26" s="119">
        <f t="shared" si="1"/>
        <v>13</v>
      </c>
      <c r="H26" s="126"/>
    </row>
    <row r="27" spans="1:8">
      <c r="A27" s="119">
        <f t="shared" si="0"/>
        <v>14</v>
      </c>
      <c r="B27" s="130"/>
      <c r="C27" s="862"/>
      <c r="D27" s="130"/>
      <c r="E27" s="143"/>
      <c r="F27" s="857"/>
      <c r="G27" s="119">
        <f t="shared" si="1"/>
        <v>14</v>
      </c>
    </row>
    <row r="28" spans="1:8">
      <c r="A28" s="119">
        <f t="shared" si="0"/>
        <v>15</v>
      </c>
      <c r="B28" s="130" t="s">
        <v>225</v>
      </c>
      <c r="C28" s="144">
        <f>SUM(C14:C26)</f>
        <v>0</v>
      </c>
      <c r="D28" s="158" t="str">
        <f>"Sum Lines "&amp;A14&amp;" thru "&amp;A26</f>
        <v>Sum Lines 1 thru 13</v>
      </c>
      <c r="E28" s="144">
        <f>SUM(E14:E26)</f>
        <v>0</v>
      </c>
      <c r="F28" s="158" t="str">
        <f>"Sum Lines "&amp;A14&amp;" thru "&amp;A26</f>
        <v>Sum Lines 1 thru 13</v>
      </c>
      <c r="G28" s="119">
        <f t="shared" si="1"/>
        <v>15</v>
      </c>
    </row>
    <row r="29" spans="1:8">
      <c r="A29" s="119">
        <f t="shared" si="0"/>
        <v>16</v>
      </c>
      <c r="B29" s="1013"/>
      <c r="C29" s="1112"/>
      <c r="D29" s="1013"/>
      <c r="E29" s="1112"/>
      <c r="F29" s="1013"/>
      <c r="G29" s="119">
        <f t="shared" si="1"/>
        <v>16</v>
      </c>
    </row>
    <row r="30" spans="1:8">
      <c r="A30" s="119">
        <f t="shared" si="0"/>
        <v>17</v>
      </c>
      <c r="B30" s="130"/>
      <c r="C30" s="143"/>
      <c r="D30" s="130"/>
      <c r="E30" s="143"/>
      <c r="F30" s="130"/>
      <c r="G30" s="119">
        <f t="shared" si="1"/>
        <v>17</v>
      </c>
    </row>
    <row r="31" spans="1:8">
      <c r="A31" s="119">
        <f t="shared" si="0"/>
        <v>18</v>
      </c>
      <c r="B31" s="130" t="s">
        <v>226</v>
      </c>
      <c r="C31" s="144">
        <f>C28/13</f>
        <v>0</v>
      </c>
      <c r="D31" s="158" t="str">
        <f>"Average of Lines "&amp;A14&amp;" thru "&amp;A26</f>
        <v>Average of Lines 1 thru 13</v>
      </c>
      <c r="E31" s="144">
        <f>E28/13</f>
        <v>0</v>
      </c>
      <c r="F31" s="124" t="s">
        <v>926</v>
      </c>
      <c r="G31" s="119">
        <f t="shared" si="1"/>
        <v>18</v>
      </c>
      <c r="H31" s="126"/>
    </row>
    <row r="32" spans="1:8">
      <c r="A32" s="119">
        <f t="shared" si="0"/>
        <v>19</v>
      </c>
      <c r="B32" s="1013"/>
      <c r="C32" s="1116"/>
      <c r="D32" s="1013"/>
      <c r="E32" s="1116"/>
      <c r="F32" s="1013"/>
      <c r="G32" s="119">
        <f t="shared" si="1"/>
        <v>19</v>
      </c>
    </row>
    <row r="33" spans="1:7">
      <c r="B33" s="136"/>
      <c r="C33" s="145"/>
      <c r="D33" s="136"/>
      <c r="E33" s="145"/>
      <c r="F33" s="136"/>
      <c r="G33" s="575"/>
    </row>
    <row r="34" spans="1:7">
      <c r="C34" s="145"/>
      <c r="D34" s="136"/>
      <c r="E34" s="145"/>
      <c r="F34" s="136"/>
      <c r="G34" s="575"/>
    </row>
    <row r="35" spans="1:7" ht="18.75">
      <c r="A35" s="135">
        <v>1</v>
      </c>
      <c r="B35" s="136" t="s">
        <v>227</v>
      </c>
      <c r="C35" s="146"/>
      <c r="D35" s="136"/>
      <c r="E35" s="146"/>
      <c r="F35" s="136"/>
      <c r="G35" s="575"/>
    </row>
    <row r="36" spans="1:7">
      <c r="B36" s="136" t="s">
        <v>228</v>
      </c>
      <c r="C36" s="146"/>
      <c r="D36" s="136"/>
      <c r="E36" s="146"/>
      <c r="F36" s="136"/>
      <c r="G36" s="575"/>
    </row>
    <row r="37" spans="1:7">
      <c r="C37" s="146"/>
      <c r="D37" s="136"/>
      <c r="E37" s="146"/>
      <c r="F37" s="136"/>
      <c r="G37" s="575"/>
    </row>
    <row r="38" spans="1:7">
      <c r="C38" s="146"/>
      <c r="D38" s="136"/>
      <c r="E38" s="146"/>
      <c r="F38" s="136"/>
      <c r="G38" s="575"/>
    </row>
    <row r="39" spans="1:7">
      <c r="C39" s="147"/>
      <c r="E39" s="140"/>
      <c r="G39" s="575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I38"/>
  <sheetViews>
    <sheetView zoomScale="80" zoomScaleNormal="80" workbookViewId="0">
      <selection activeCell="E40" sqref="E40"/>
    </sheetView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14" customWidth="1"/>
    <col min="5" max="5" width="18.5703125" style="110" customWidth="1"/>
    <col min="6" max="6" width="62.570312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42578125" style="110" customWidth="1"/>
    <col min="14" max="16384" width="9.140625" style="110"/>
  </cols>
  <sheetData>
    <row r="2" spans="1:9">
      <c r="B2" s="1287" t="s">
        <v>0</v>
      </c>
      <c r="C2" s="1287"/>
      <c r="D2" s="1287"/>
      <c r="E2" s="1287"/>
      <c r="F2" s="1287"/>
    </row>
    <row r="3" spans="1:9">
      <c r="B3" s="1287" t="s">
        <v>208</v>
      </c>
      <c r="C3" s="1287"/>
      <c r="D3" s="1287"/>
      <c r="E3" s="1287"/>
      <c r="F3" s="1287"/>
    </row>
    <row r="4" spans="1:9">
      <c r="B4" s="1287" t="s">
        <v>209</v>
      </c>
      <c r="C4" s="1287"/>
      <c r="D4" s="1287"/>
      <c r="E4" s="1287"/>
      <c r="F4" s="1287"/>
    </row>
    <row r="5" spans="1:9">
      <c r="B5" s="1287" t="str">
        <f>"BASE PERIOD / TRUE UP PERIOD - 12/31/"&amp;Automation!$B$3&amp;" PER BOOK"</f>
        <v>BASE PERIOD / TRUE UP PERIOD - 12/31/2024 PER BOOK</v>
      </c>
      <c r="C5" s="1287"/>
      <c r="D5" s="1287"/>
      <c r="E5" s="1287"/>
      <c r="F5" s="1287"/>
    </row>
    <row r="6" spans="1:9">
      <c r="B6" s="1291" t="s">
        <v>3</v>
      </c>
      <c r="C6" s="1291"/>
      <c r="D6" s="1291"/>
      <c r="E6" s="1291"/>
      <c r="F6" s="1291"/>
    </row>
    <row r="7" spans="1:9">
      <c r="B7" s="111"/>
      <c r="C7" s="112"/>
      <c r="D7" s="112"/>
      <c r="E7" s="111"/>
      <c r="F7" s="111"/>
    </row>
    <row r="8" spans="1:9">
      <c r="B8" s="1287" t="s">
        <v>231</v>
      </c>
      <c r="C8" s="1287"/>
      <c r="D8" s="1287"/>
      <c r="E8" s="1287"/>
      <c r="F8" s="1287"/>
    </row>
    <row r="10" spans="1:9">
      <c r="B10" s="857"/>
      <c r="C10" s="858" t="s">
        <v>80</v>
      </c>
      <c r="D10" s="859"/>
      <c r="E10" s="858"/>
      <c r="F10" s="859"/>
    </row>
    <row r="11" spans="1:9">
      <c r="B11" s="116"/>
      <c r="C11" s="121" t="s">
        <v>232</v>
      </c>
      <c r="D11" s="116"/>
      <c r="E11" s="121" t="s">
        <v>232</v>
      </c>
      <c r="F11" s="116"/>
    </row>
    <row r="12" spans="1:9">
      <c r="A12" s="119" t="s">
        <v>4</v>
      </c>
      <c r="B12" s="120"/>
      <c r="C12" s="109" t="s">
        <v>212</v>
      </c>
      <c r="D12" s="116"/>
      <c r="E12" s="121" t="s">
        <v>212</v>
      </c>
      <c r="F12" s="116"/>
      <c r="G12" s="119" t="s">
        <v>4</v>
      </c>
    </row>
    <row r="13" spans="1:9" ht="18.75">
      <c r="A13" s="119" t="s">
        <v>5</v>
      </c>
      <c r="B13" s="1012" t="s">
        <v>123</v>
      </c>
      <c r="C13" s="1109" t="s">
        <v>213</v>
      </c>
      <c r="D13" s="1012" t="s">
        <v>8</v>
      </c>
      <c r="E13" s="1110" t="s">
        <v>214</v>
      </c>
      <c r="F13" s="1012" t="s">
        <v>8</v>
      </c>
      <c r="G13" s="119" t="s">
        <v>5</v>
      </c>
      <c r="H13" s="140"/>
    </row>
    <row r="14" spans="1:9">
      <c r="A14" s="119">
        <v>1</v>
      </c>
      <c r="B14" s="122" t="str">
        <f>"Dec-"&amp;RIGHT(Automation!$B$3-1,2)</f>
        <v>Dec-23</v>
      </c>
      <c r="C14" s="141">
        <v>0</v>
      </c>
      <c r="D14" s="124" t="s">
        <v>215</v>
      </c>
      <c r="E14" s="141">
        <v>0</v>
      </c>
      <c r="F14" s="124" t="s">
        <v>215</v>
      </c>
      <c r="G14" s="119">
        <f>A14</f>
        <v>1</v>
      </c>
      <c r="H14" s="140"/>
      <c r="I14" s="140"/>
    </row>
    <row r="15" spans="1:9">
      <c r="A15" s="119">
        <f>A14+1</f>
        <v>2</v>
      </c>
      <c r="B15" s="122" t="str">
        <f>"Jan-"&amp;RIGHT(Automation!$B$3,2)</f>
        <v>Jan-24</v>
      </c>
      <c r="C15" s="142">
        <v>0</v>
      </c>
      <c r="D15" s="128"/>
      <c r="E15" s="142">
        <v>0</v>
      </c>
      <c r="F15" s="128"/>
      <c r="G15" s="119">
        <f>G14+1</f>
        <v>2</v>
      </c>
      <c r="H15" s="140"/>
    </row>
    <row r="16" spans="1:9">
      <c r="A16" s="119">
        <f t="shared" ref="A16:A32" si="0">A15+1</f>
        <v>3</v>
      </c>
      <c r="B16" s="122" t="s">
        <v>216</v>
      </c>
      <c r="C16" s="142">
        <v>0</v>
      </c>
      <c r="D16" s="128"/>
      <c r="E16" s="142">
        <v>0</v>
      </c>
      <c r="F16" s="128"/>
      <c r="G16" s="119">
        <f t="shared" ref="G16:G32" si="1">G15+1</f>
        <v>3</v>
      </c>
      <c r="H16" s="140"/>
    </row>
    <row r="17" spans="1:9">
      <c r="A17" s="119">
        <f t="shared" si="0"/>
        <v>4</v>
      </c>
      <c r="B17" s="122" t="s">
        <v>217</v>
      </c>
      <c r="C17" s="142">
        <v>0</v>
      </c>
      <c r="D17" s="128"/>
      <c r="E17" s="142">
        <v>0</v>
      </c>
      <c r="F17" s="128"/>
      <c r="G17" s="119">
        <f t="shared" si="1"/>
        <v>4</v>
      </c>
      <c r="H17" s="140"/>
    </row>
    <row r="18" spans="1:9">
      <c r="A18" s="119">
        <f t="shared" si="0"/>
        <v>5</v>
      </c>
      <c r="B18" s="122" t="s">
        <v>218</v>
      </c>
      <c r="C18" s="142">
        <v>0</v>
      </c>
      <c r="D18" s="128"/>
      <c r="E18" s="142">
        <v>0</v>
      </c>
      <c r="F18" s="128"/>
      <c r="G18" s="119">
        <f t="shared" si="1"/>
        <v>5</v>
      </c>
      <c r="H18" s="140"/>
    </row>
    <row r="19" spans="1:9">
      <c r="A19" s="119">
        <f t="shared" si="0"/>
        <v>6</v>
      </c>
      <c r="B19" s="122" t="s">
        <v>160</v>
      </c>
      <c r="C19" s="142">
        <v>0</v>
      </c>
      <c r="D19" s="128"/>
      <c r="E19" s="142">
        <v>0</v>
      </c>
      <c r="F19" s="128"/>
      <c r="G19" s="119">
        <f t="shared" si="1"/>
        <v>6</v>
      </c>
      <c r="H19" s="140"/>
    </row>
    <row r="20" spans="1:9">
      <c r="A20" s="119">
        <f>A19+1</f>
        <v>7</v>
      </c>
      <c r="B20" s="122" t="s">
        <v>219</v>
      </c>
      <c r="C20" s="142">
        <v>0</v>
      </c>
      <c r="D20" s="128"/>
      <c r="E20" s="142">
        <v>0</v>
      </c>
      <c r="F20" s="128"/>
      <c r="G20" s="119">
        <f>G19+1</f>
        <v>7</v>
      </c>
      <c r="H20" s="140"/>
    </row>
    <row r="21" spans="1:9">
      <c r="A21" s="119">
        <f t="shared" si="0"/>
        <v>8</v>
      </c>
      <c r="B21" s="122" t="s">
        <v>220</v>
      </c>
      <c r="C21" s="142">
        <v>0</v>
      </c>
      <c r="D21" s="128"/>
      <c r="E21" s="142">
        <v>0</v>
      </c>
      <c r="F21" s="128"/>
      <c r="G21" s="119">
        <f t="shared" si="1"/>
        <v>8</v>
      </c>
    </row>
    <row r="22" spans="1:9">
      <c r="A22" s="119">
        <f t="shared" si="0"/>
        <v>9</v>
      </c>
      <c r="B22" s="122" t="s">
        <v>221</v>
      </c>
      <c r="C22" s="142">
        <v>0</v>
      </c>
      <c r="D22" s="128"/>
      <c r="E22" s="142">
        <v>0</v>
      </c>
      <c r="F22" s="128"/>
      <c r="G22" s="119">
        <f t="shared" si="1"/>
        <v>9</v>
      </c>
    </row>
    <row r="23" spans="1:9">
      <c r="A23" s="119">
        <f t="shared" si="0"/>
        <v>10</v>
      </c>
      <c r="B23" s="122" t="s">
        <v>222</v>
      </c>
      <c r="C23" s="142">
        <v>0</v>
      </c>
      <c r="D23" s="128"/>
      <c r="E23" s="142">
        <v>0</v>
      </c>
      <c r="F23" s="128"/>
      <c r="G23" s="119">
        <f t="shared" si="1"/>
        <v>10</v>
      </c>
    </row>
    <row r="24" spans="1:9">
      <c r="A24" s="119">
        <f t="shared" si="0"/>
        <v>11</v>
      </c>
      <c r="B24" s="122" t="s">
        <v>223</v>
      </c>
      <c r="C24" s="142">
        <v>0</v>
      </c>
      <c r="D24" s="128"/>
      <c r="E24" s="142">
        <v>0</v>
      </c>
      <c r="F24" s="128"/>
      <c r="G24" s="119">
        <f t="shared" si="1"/>
        <v>11</v>
      </c>
    </row>
    <row r="25" spans="1:9">
      <c r="A25" s="119">
        <f t="shared" si="0"/>
        <v>12</v>
      </c>
      <c r="B25" s="122" t="s">
        <v>224</v>
      </c>
      <c r="C25" s="142">
        <v>0</v>
      </c>
      <c r="D25" s="128"/>
      <c r="E25" s="142">
        <v>0</v>
      </c>
      <c r="F25" s="128"/>
      <c r="G25" s="119">
        <f t="shared" si="1"/>
        <v>12</v>
      </c>
    </row>
    <row r="26" spans="1:9">
      <c r="A26" s="119">
        <f t="shared" si="0"/>
        <v>13</v>
      </c>
      <c r="B26" s="1029" t="str">
        <f>"Dec-"&amp;RIGHT(Automation!$B$3,2)</f>
        <v>Dec-24</v>
      </c>
      <c r="C26" s="142">
        <v>0</v>
      </c>
      <c r="D26" s="1114" t="s">
        <v>215</v>
      </c>
      <c r="E26" s="1115">
        <v>0</v>
      </c>
      <c r="F26" s="1114" t="s">
        <v>215</v>
      </c>
      <c r="G26" s="119">
        <f t="shared" si="1"/>
        <v>13</v>
      </c>
      <c r="I26" s="140"/>
    </row>
    <row r="27" spans="1:9">
      <c r="A27" s="119">
        <f t="shared" si="0"/>
        <v>14</v>
      </c>
      <c r="B27" s="130"/>
      <c r="C27" s="862"/>
      <c r="D27" s="148"/>
      <c r="E27" s="143"/>
      <c r="F27" s="863"/>
      <c r="G27" s="119">
        <f t="shared" si="1"/>
        <v>14</v>
      </c>
    </row>
    <row r="28" spans="1:9">
      <c r="A28" s="119">
        <f t="shared" si="0"/>
        <v>15</v>
      </c>
      <c r="B28" s="130" t="s">
        <v>225</v>
      </c>
      <c r="C28" s="144">
        <f>SUM(C14:C26)</f>
        <v>0</v>
      </c>
      <c r="D28" s="336" t="str">
        <f>"Sum Lines "&amp;A14&amp;" thru "&amp;A26</f>
        <v>Sum Lines 1 thru 13</v>
      </c>
      <c r="E28" s="144">
        <f>SUM(E14:E26)</f>
        <v>0</v>
      </c>
      <c r="F28" s="520" t="str">
        <f>"Sum Lines "&amp;A14&amp;" thru "&amp;A26</f>
        <v>Sum Lines 1 thru 13</v>
      </c>
      <c r="G28" s="119">
        <f t="shared" si="1"/>
        <v>15</v>
      </c>
    </row>
    <row r="29" spans="1:9">
      <c r="A29" s="119">
        <f t="shared" si="0"/>
        <v>16</v>
      </c>
      <c r="B29" s="1013"/>
      <c r="C29" s="1116"/>
      <c r="D29" s="1117"/>
      <c r="E29" s="1116"/>
      <c r="F29" s="1118"/>
      <c r="G29" s="119">
        <f t="shared" si="1"/>
        <v>16</v>
      </c>
    </row>
    <row r="30" spans="1:9">
      <c r="A30" s="119">
        <f t="shared" si="0"/>
        <v>17</v>
      </c>
      <c r="B30" s="130"/>
      <c r="C30" s="143"/>
      <c r="D30" s="149"/>
      <c r="E30" s="143"/>
      <c r="F30" s="150"/>
      <c r="G30" s="119">
        <f t="shared" si="1"/>
        <v>17</v>
      </c>
    </row>
    <row r="31" spans="1:9">
      <c r="A31" s="119">
        <f t="shared" si="0"/>
        <v>18</v>
      </c>
      <c r="B31" s="130" t="s">
        <v>226</v>
      </c>
      <c r="C31" s="151">
        <f>C28/13</f>
        <v>0</v>
      </c>
      <c r="D31" s="336" t="str">
        <f>"Average of Lines "&amp;A14&amp;" thru "&amp;A26</f>
        <v>Average of Lines 1 thru 13</v>
      </c>
      <c r="E31" s="151">
        <f>E28/13</f>
        <v>0</v>
      </c>
      <c r="F31" s="520" t="str">
        <f>"Average of Lines "&amp;A14&amp;" thru "&amp;A26</f>
        <v>Average of Lines 1 thru 13</v>
      </c>
      <c r="G31" s="119">
        <f t="shared" si="1"/>
        <v>18</v>
      </c>
      <c r="I31" s="140"/>
    </row>
    <row r="32" spans="1:9">
      <c r="A32" s="119">
        <f t="shared" si="0"/>
        <v>19</v>
      </c>
      <c r="B32" s="1013"/>
      <c r="C32" s="1116"/>
      <c r="D32" s="1014"/>
      <c r="E32" s="1116"/>
      <c r="F32" s="1118"/>
      <c r="G32" s="119">
        <f t="shared" si="1"/>
        <v>19</v>
      </c>
    </row>
    <row r="33" spans="1:7">
      <c r="A33" s="119"/>
      <c r="B33" s="136"/>
      <c r="C33" s="145"/>
      <c r="D33" s="145"/>
      <c r="E33" s="145"/>
      <c r="F33" s="146"/>
      <c r="G33" s="575"/>
    </row>
    <row r="34" spans="1:7">
      <c r="A34" s="119"/>
      <c r="C34" s="146"/>
      <c r="D34" s="146"/>
      <c r="E34" s="146"/>
      <c r="F34" s="146"/>
      <c r="G34" s="575"/>
    </row>
    <row r="35" spans="1:7" ht="18.75">
      <c r="A35" s="135">
        <v>1</v>
      </c>
      <c r="B35" s="136" t="s">
        <v>227</v>
      </c>
      <c r="C35" s="146"/>
      <c r="D35" s="146"/>
      <c r="E35" s="146"/>
      <c r="F35" s="146"/>
      <c r="G35" s="575"/>
    </row>
    <row r="36" spans="1:7">
      <c r="B36" s="136" t="s">
        <v>228</v>
      </c>
      <c r="C36" s="146"/>
      <c r="D36" s="146"/>
      <c r="E36" s="146"/>
      <c r="F36" s="146"/>
      <c r="G36" s="575"/>
    </row>
    <row r="37" spans="1:7">
      <c r="C37" s="146"/>
      <c r="D37" s="146"/>
      <c r="E37" s="146"/>
      <c r="F37" s="146"/>
      <c r="G37" s="575"/>
    </row>
    <row r="38" spans="1:7">
      <c r="C38" s="147"/>
      <c r="D38" s="147"/>
      <c r="E38" s="140"/>
      <c r="F38" s="140"/>
      <c r="G38" s="575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H44"/>
  <sheetViews>
    <sheetView zoomScale="80" zoomScaleNormal="80" workbookViewId="0">
      <selection activeCell="D41" sqref="D41"/>
    </sheetView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53" customWidth="1"/>
    <col min="5" max="5" width="18.5703125" style="110" customWidth="1"/>
    <col min="6" max="6" width="62.570312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42578125" style="110" customWidth="1"/>
    <col min="14" max="16384" width="9.140625" style="110"/>
  </cols>
  <sheetData>
    <row r="2" spans="1:8">
      <c r="B2" s="1287" t="s">
        <v>0</v>
      </c>
      <c r="C2" s="1287"/>
      <c r="D2" s="1287"/>
      <c r="E2" s="1287"/>
      <c r="F2" s="1287"/>
    </row>
    <row r="3" spans="1:8">
      <c r="B3" s="1287" t="s">
        <v>208</v>
      </c>
      <c r="C3" s="1287"/>
      <c r="D3" s="1287"/>
      <c r="E3" s="1287"/>
      <c r="F3" s="1287"/>
    </row>
    <row r="4" spans="1:8">
      <c r="B4" s="1287" t="s">
        <v>209</v>
      </c>
      <c r="C4" s="1287"/>
      <c r="D4" s="1287"/>
      <c r="E4" s="1287"/>
      <c r="F4" s="1287"/>
    </row>
    <row r="5" spans="1:8">
      <c r="B5" s="1287" t="str">
        <f>"BASE PERIOD / TRUE UP PERIOD - 12/31/"&amp;Automation!$B$3&amp;" PER BOOK"</f>
        <v>BASE PERIOD / TRUE UP PERIOD - 12/31/2024 PER BOOK</v>
      </c>
      <c r="C5" s="1287"/>
      <c r="D5" s="1287"/>
      <c r="E5" s="1287"/>
      <c r="F5" s="1287"/>
    </row>
    <row r="6" spans="1:8">
      <c r="B6" s="1291" t="s">
        <v>3</v>
      </c>
      <c r="C6" s="1291"/>
      <c r="D6" s="1291"/>
      <c r="E6" s="1291"/>
      <c r="F6" s="1291"/>
    </row>
    <row r="7" spans="1:8">
      <c r="B7" s="111"/>
      <c r="C7" s="112"/>
      <c r="D7" s="152"/>
      <c r="E7" s="111"/>
      <c r="F7" s="111"/>
    </row>
    <row r="8" spans="1:8">
      <c r="B8" s="1287" t="s">
        <v>233</v>
      </c>
      <c r="C8" s="1287"/>
      <c r="D8" s="1287"/>
      <c r="E8" s="1287"/>
      <c r="F8" s="1287"/>
    </row>
    <row r="10" spans="1:8">
      <c r="B10" s="857"/>
      <c r="C10" s="858" t="s">
        <v>80</v>
      </c>
      <c r="D10" s="859"/>
      <c r="E10" s="858"/>
      <c r="F10" s="859"/>
    </row>
    <row r="11" spans="1:8">
      <c r="A11" s="119"/>
      <c r="B11" s="116"/>
      <c r="C11" s="109" t="s">
        <v>234</v>
      </c>
      <c r="D11" s="116"/>
      <c r="E11" s="121" t="s">
        <v>234</v>
      </c>
      <c r="F11" s="116"/>
    </row>
    <row r="12" spans="1:8">
      <c r="A12" s="119" t="s">
        <v>4</v>
      </c>
      <c r="B12" s="120"/>
      <c r="C12" s="109" t="s">
        <v>212</v>
      </c>
      <c r="D12" s="116"/>
      <c r="E12" s="121" t="s">
        <v>212</v>
      </c>
      <c r="F12" s="116"/>
      <c r="G12" s="119" t="s">
        <v>4</v>
      </c>
    </row>
    <row r="13" spans="1:8" ht="18.75">
      <c r="A13" s="119" t="s">
        <v>5</v>
      </c>
      <c r="B13" s="1012" t="s">
        <v>123</v>
      </c>
      <c r="C13" s="1109" t="s">
        <v>213</v>
      </c>
      <c r="D13" s="1012" t="s">
        <v>8</v>
      </c>
      <c r="E13" s="1110" t="s">
        <v>214</v>
      </c>
      <c r="F13" s="1012" t="s">
        <v>8</v>
      </c>
      <c r="G13" s="119" t="s">
        <v>5</v>
      </c>
    </row>
    <row r="14" spans="1:8">
      <c r="A14" s="119">
        <v>1</v>
      </c>
      <c r="B14" s="122" t="str">
        <f>"Dec-"&amp;RIGHT(Automation!$B$3-1,2)</f>
        <v>Dec-23</v>
      </c>
      <c r="C14" s="123">
        <v>624502.05602999998</v>
      </c>
      <c r="D14" s="124" t="s">
        <v>215</v>
      </c>
      <c r="E14" s="123">
        <v>582308.96525000001</v>
      </c>
      <c r="F14" s="124" t="s">
        <v>924</v>
      </c>
      <c r="G14" s="119">
        <f>A14</f>
        <v>1</v>
      </c>
      <c r="H14" s="126"/>
    </row>
    <row r="15" spans="1:8">
      <c r="A15" s="119">
        <f>A14+1</f>
        <v>2</v>
      </c>
      <c r="B15" s="122" t="str">
        <f>"Jan-"&amp;RIGHT(Automation!$B$3,2)</f>
        <v>Jan-24</v>
      </c>
      <c r="C15" s="127">
        <v>624797.41312000004</v>
      </c>
      <c r="D15" s="128"/>
      <c r="E15" s="127">
        <v>582604.32234000007</v>
      </c>
      <c r="F15" s="128"/>
      <c r="G15" s="119">
        <f>G14+1</f>
        <v>2</v>
      </c>
    </row>
    <row r="16" spans="1:8">
      <c r="A16" s="119">
        <f t="shared" ref="A16:A32" si="0">A15+1</f>
        <v>3</v>
      </c>
      <c r="B16" s="122" t="s">
        <v>216</v>
      </c>
      <c r="C16" s="127">
        <v>624644.7580400001</v>
      </c>
      <c r="D16" s="128"/>
      <c r="E16" s="127">
        <v>582451.66726000013</v>
      </c>
      <c r="F16" s="128"/>
      <c r="G16" s="119">
        <f t="shared" ref="G16:G32" si="1">G15+1</f>
        <v>3</v>
      </c>
    </row>
    <row r="17" spans="1:8">
      <c r="A17" s="119">
        <f t="shared" si="0"/>
        <v>4</v>
      </c>
      <c r="B17" s="122" t="s">
        <v>217</v>
      </c>
      <c r="C17" s="127">
        <v>624849.3525299998</v>
      </c>
      <c r="D17" s="128"/>
      <c r="E17" s="127">
        <v>582656.26174999983</v>
      </c>
      <c r="F17" s="128"/>
      <c r="G17" s="119">
        <f t="shared" si="1"/>
        <v>4</v>
      </c>
    </row>
    <row r="18" spans="1:8">
      <c r="A18" s="119">
        <f t="shared" si="0"/>
        <v>5</v>
      </c>
      <c r="B18" s="122" t="s">
        <v>218</v>
      </c>
      <c r="C18" s="127">
        <v>625519.85930000024</v>
      </c>
      <c r="D18" s="128"/>
      <c r="E18" s="127">
        <v>583326.76852000027</v>
      </c>
      <c r="F18" s="128"/>
      <c r="G18" s="119">
        <f t="shared" si="1"/>
        <v>5</v>
      </c>
    </row>
    <row r="19" spans="1:8">
      <c r="A19" s="119">
        <f t="shared" si="0"/>
        <v>6</v>
      </c>
      <c r="B19" s="122" t="s">
        <v>160</v>
      </c>
      <c r="C19" s="127">
        <v>625517.72751000023</v>
      </c>
      <c r="D19" s="128"/>
      <c r="E19" s="127">
        <v>583324.63673000026</v>
      </c>
      <c r="F19" s="128"/>
      <c r="G19" s="119">
        <f t="shared" si="1"/>
        <v>6</v>
      </c>
    </row>
    <row r="20" spans="1:8">
      <c r="A20" s="119">
        <f>A19+1</f>
        <v>7</v>
      </c>
      <c r="B20" s="122" t="s">
        <v>219</v>
      </c>
      <c r="C20" s="127">
        <v>625691.33254000009</v>
      </c>
      <c r="D20" s="128"/>
      <c r="E20" s="127">
        <v>583498.24176000012</v>
      </c>
      <c r="F20" s="128"/>
      <c r="G20" s="119">
        <f>G19+1</f>
        <v>7</v>
      </c>
    </row>
    <row r="21" spans="1:8">
      <c r="A21" s="119">
        <f t="shared" si="0"/>
        <v>8</v>
      </c>
      <c r="B21" s="122" t="s">
        <v>220</v>
      </c>
      <c r="C21" s="127">
        <v>625777.29544999986</v>
      </c>
      <c r="D21" s="128"/>
      <c r="E21" s="127">
        <v>583584.20466999989</v>
      </c>
      <c r="F21" s="128"/>
      <c r="G21" s="119">
        <f t="shared" si="1"/>
        <v>8</v>
      </c>
    </row>
    <row r="22" spans="1:8">
      <c r="A22" s="119">
        <f t="shared" si="0"/>
        <v>9</v>
      </c>
      <c r="B22" s="122" t="s">
        <v>221</v>
      </c>
      <c r="C22" s="127">
        <v>625828.18670999981</v>
      </c>
      <c r="D22" s="128"/>
      <c r="E22" s="127">
        <v>583635.09592999984</v>
      </c>
      <c r="F22" s="128"/>
      <c r="G22" s="119">
        <f t="shared" si="1"/>
        <v>9</v>
      </c>
    </row>
    <row r="23" spans="1:8">
      <c r="A23" s="119">
        <f t="shared" si="0"/>
        <v>10</v>
      </c>
      <c r="B23" s="122" t="s">
        <v>222</v>
      </c>
      <c r="C23" s="127">
        <v>625931.38958999992</v>
      </c>
      <c r="D23" s="128"/>
      <c r="E23" s="127">
        <v>583738.29880999995</v>
      </c>
      <c r="F23" s="128"/>
      <c r="G23" s="119">
        <f t="shared" si="1"/>
        <v>10</v>
      </c>
    </row>
    <row r="24" spans="1:8">
      <c r="A24" s="119">
        <f t="shared" si="0"/>
        <v>11</v>
      </c>
      <c r="B24" s="122" t="s">
        <v>223</v>
      </c>
      <c r="C24" s="127">
        <v>625976.81964999996</v>
      </c>
      <c r="D24" s="128"/>
      <c r="E24" s="127">
        <v>583783.72886999999</v>
      </c>
      <c r="F24" s="128"/>
      <c r="G24" s="119">
        <f t="shared" si="1"/>
        <v>11</v>
      </c>
    </row>
    <row r="25" spans="1:8">
      <c r="A25" s="119">
        <f t="shared" si="0"/>
        <v>12</v>
      </c>
      <c r="B25" s="122" t="s">
        <v>224</v>
      </c>
      <c r="C25" s="127">
        <v>625662.86396999995</v>
      </c>
      <c r="D25" s="128"/>
      <c r="E25" s="127">
        <v>583844.80027000001</v>
      </c>
      <c r="F25" s="128"/>
      <c r="G25" s="119">
        <f t="shared" si="1"/>
        <v>12</v>
      </c>
    </row>
    <row r="26" spans="1:8">
      <c r="A26" s="119">
        <f t="shared" si="0"/>
        <v>13</v>
      </c>
      <c r="B26" s="1029" t="str">
        <f>"Dec-"&amp;RIGHT(Automation!$B$3,2)</f>
        <v>Dec-24</v>
      </c>
      <c r="C26" s="127">
        <v>625992.21435000002</v>
      </c>
      <c r="D26" s="1114" t="s">
        <v>215</v>
      </c>
      <c r="E26" s="1117">
        <v>584174.15065000008</v>
      </c>
      <c r="F26" s="124" t="s">
        <v>925</v>
      </c>
      <c r="G26" s="119">
        <f t="shared" si="1"/>
        <v>13</v>
      </c>
      <c r="H26" s="126"/>
    </row>
    <row r="27" spans="1:8">
      <c r="A27" s="119">
        <f>A26+1</f>
        <v>14</v>
      </c>
      <c r="B27" s="130"/>
      <c r="C27" s="862"/>
      <c r="D27" s="130"/>
      <c r="E27" s="143"/>
      <c r="F27" s="857"/>
      <c r="G27" s="119">
        <f>G26+1</f>
        <v>14</v>
      </c>
    </row>
    <row r="28" spans="1:8">
      <c r="A28" s="119">
        <f t="shared" si="0"/>
        <v>15</v>
      </c>
      <c r="B28" s="130" t="s">
        <v>225</v>
      </c>
      <c r="C28" s="132">
        <f>SUM(C14:C26)</f>
        <v>8130691.2687900001</v>
      </c>
      <c r="D28" s="158" t="str">
        <f>"Sum Lines "&amp;A14&amp;" thru "&amp;A26</f>
        <v>Sum Lines 1 thru 13</v>
      </c>
      <c r="E28" s="132">
        <f>SUM(E14:E26)</f>
        <v>7582931.1428100001</v>
      </c>
      <c r="F28" s="158" t="str">
        <f>"Sum Lines "&amp;A14&amp;" thru "&amp;A26</f>
        <v>Sum Lines 1 thru 13</v>
      </c>
      <c r="G28" s="119">
        <f t="shared" si="1"/>
        <v>15</v>
      </c>
    </row>
    <row r="29" spans="1:8">
      <c r="A29" s="119">
        <f t="shared" si="0"/>
        <v>16</v>
      </c>
      <c r="B29" s="1013"/>
      <c r="C29" s="1112"/>
      <c r="D29" s="1119"/>
      <c r="E29" s="1112"/>
      <c r="F29" s="1119"/>
      <c r="G29" s="119">
        <f t="shared" si="1"/>
        <v>16</v>
      </c>
    </row>
    <row r="30" spans="1:8">
      <c r="A30" s="119">
        <f t="shared" si="0"/>
        <v>17</v>
      </c>
      <c r="B30" s="130"/>
      <c r="C30" s="132"/>
      <c r="D30" s="133"/>
      <c r="E30" s="132"/>
      <c r="F30" s="133"/>
      <c r="G30" s="119">
        <f t="shared" si="1"/>
        <v>17</v>
      </c>
    </row>
    <row r="31" spans="1:8">
      <c r="A31" s="119">
        <f t="shared" si="0"/>
        <v>18</v>
      </c>
      <c r="B31" s="130" t="s">
        <v>226</v>
      </c>
      <c r="C31" s="132">
        <f>C28/13</f>
        <v>625437.78990692308</v>
      </c>
      <c r="D31" s="158" t="str">
        <f>"Average of Lines "&amp;A14&amp;" thru "&amp;A26</f>
        <v>Average of Lines 1 thru 13</v>
      </c>
      <c r="E31" s="132">
        <f>E28/13</f>
        <v>583302.3956007692</v>
      </c>
      <c r="F31" s="124" t="s">
        <v>926</v>
      </c>
      <c r="G31" s="119">
        <f t="shared" si="1"/>
        <v>18</v>
      </c>
      <c r="H31" s="126"/>
    </row>
    <row r="32" spans="1:8">
      <c r="A32" s="119">
        <f t="shared" si="0"/>
        <v>19</v>
      </c>
      <c r="B32" s="1013"/>
      <c r="C32" s="1116"/>
      <c r="D32" s="1013"/>
      <c r="E32" s="1116"/>
      <c r="F32" s="1013"/>
      <c r="G32" s="119">
        <f t="shared" si="1"/>
        <v>19</v>
      </c>
    </row>
    <row r="33" spans="1:7">
      <c r="B33" s="136"/>
      <c r="C33" s="145"/>
      <c r="D33" s="136"/>
      <c r="E33" s="145"/>
      <c r="F33" s="136"/>
    </row>
    <row r="34" spans="1:7">
      <c r="C34" s="145"/>
      <c r="D34" s="136"/>
      <c r="E34" s="145"/>
      <c r="F34" s="136"/>
    </row>
    <row r="35" spans="1:7" ht="18.75">
      <c r="A35" s="135">
        <v>1</v>
      </c>
      <c r="B35" s="136" t="s">
        <v>227</v>
      </c>
      <c r="C35" s="145"/>
      <c r="D35" s="136"/>
      <c r="E35" s="145"/>
      <c r="F35" s="136"/>
    </row>
    <row r="36" spans="1:7">
      <c r="B36" s="136" t="s">
        <v>228</v>
      </c>
      <c r="C36" s="145"/>
      <c r="D36" s="136"/>
      <c r="E36" s="145"/>
      <c r="F36" s="136"/>
    </row>
    <row r="37" spans="1:7">
      <c r="C37" s="145"/>
      <c r="D37" s="136"/>
      <c r="E37" s="145"/>
      <c r="F37" s="136"/>
    </row>
    <row r="38" spans="1:7">
      <c r="C38" s="145"/>
      <c r="D38" s="136"/>
      <c r="E38" s="145"/>
      <c r="F38" s="136"/>
    </row>
    <row r="39" spans="1:7">
      <c r="C39" s="154"/>
      <c r="D39" s="154"/>
      <c r="E39" s="154"/>
      <c r="F39" s="154"/>
      <c r="G39" s="576"/>
    </row>
    <row r="40" spans="1:7">
      <c r="E40" s="155"/>
    </row>
    <row r="41" spans="1:7">
      <c r="E41" s="155"/>
    </row>
    <row r="42" spans="1:7">
      <c r="E42" s="155"/>
    </row>
    <row r="43" spans="1:7">
      <c r="E43" s="155"/>
    </row>
    <row r="44" spans="1:7">
      <c r="E44" s="155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I31"/>
  <sheetViews>
    <sheetView zoomScale="80" zoomScaleNormal="80" workbookViewId="0">
      <selection activeCell="F40" sqref="F40"/>
    </sheetView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9.140625" style="114" bestFit="1" customWidth="1"/>
    <col min="5" max="5" width="18.5703125" style="110" customWidth="1"/>
    <col min="6" max="6" width="60.4257812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42578125" style="110" customWidth="1"/>
    <col min="14" max="16384" width="9.140625" style="110"/>
  </cols>
  <sheetData>
    <row r="2" spans="1:9">
      <c r="B2" s="1287" t="s">
        <v>0</v>
      </c>
      <c r="C2" s="1287"/>
      <c r="D2" s="1287"/>
      <c r="E2" s="1287"/>
      <c r="F2" s="1287"/>
    </row>
    <row r="3" spans="1:9">
      <c r="B3" s="1287" t="s">
        <v>208</v>
      </c>
      <c r="C3" s="1287"/>
      <c r="D3" s="1287"/>
      <c r="E3" s="1287"/>
      <c r="F3" s="1287"/>
    </row>
    <row r="4" spans="1:9">
      <c r="B4" s="1287" t="s">
        <v>209</v>
      </c>
      <c r="C4" s="1287"/>
      <c r="D4" s="1287"/>
      <c r="E4" s="1287"/>
      <c r="F4" s="1287"/>
    </row>
    <row r="5" spans="1:9">
      <c r="B5" s="1287" t="str">
        <f>"BASE PERIOD / TRUE UP PERIOD - 12/31/"&amp;Automation!$B$3&amp;" PER BOOK"</f>
        <v>BASE PERIOD / TRUE UP PERIOD - 12/31/2024 PER BOOK</v>
      </c>
      <c r="C5" s="1287"/>
      <c r="D5" s="1287"/>
      <c r="E5" s="1287"/>
      <c r="F5" s="1287"/>
    </row>
    <row r="6" spans="1:9">
      <c r="B6" s="1291" t="s">
        <v>3</v>
      </c>
      <c r="C6" s="1291"/>
      <c r="D6" s="1291"/>
      <c r="E6" s="1291"/>
      <c r="F6" s="1291"/>
    </row>
    <row r="7" spans="1:9">
      <c r="B7" s="111"/>
      <c r="C7" s="112"/>
      <c r="D7" s="112"/>
      <c r="E7" s="111"/>
      <c r="F7" s="111"/>
    </row>
    <row r="8" spans="1:9">
      <c r="B8" s="1287" t="s">
        <v>235</v>
      </c>
      <c r="C8" s="1287"/>
      <c r="D8" s="1287"/>
      <c r="E8" s="1287"/>
      <c r="F8" s="1287"/>
    </row>
    <row r="9" spans="1:9">
      <c r="G9" s="119"/>
    </row>
    <row r="10" spans="1:9">
      <c r="B10" s="857"/>
      <c r="C10" s="858" t="s">
        <v>80</v>
      </c>
      <c r="D10" s="859"/>
      <c r="E10" s="858"/>
      <c r="F10" s="859"/>
      <c r="G10" s="119"/>
    </row>
    <row r="11" spans="1:9">
      <c r="B11" s="116"/>
      <c r="C11" s="109" t="s">
        <v>236</v>
      </c>
      <c r="D11" s="116"/>
      <c r="E11" s="121" t="s">
        <v>236</v>
      </c>
      <c r="F11" s="116"/>
      <c r="G11" s="119"/>
    </row>
    <row r="12" spans="1:9">
      <c r="A12" s="119" t="s">
        <v>4</v>
      </c>
      <c r="B12" s="120"/>
      <c r="C12" s="109" t="s">
        <v>237</v>
      </c>
      <c r="D12" s="116"/>
      <c r="E12" s="121" t="s">
        <v>237</v>
      </c>
      <c r="F12" s="116"/>
      <c r="G12" s="119" t="s">
        <v>4</v>
      </c>
    </row>
    <row r="13" spans="1:9" ht="18.75">
      <c r="A13" s="119" t="s">
        <v>5</v>
      </c>
      <c r="B13" s="1012" t="s">
        <v>123</v>
      </c>
      <c r="C13" s="1109" t="s">
        <v>213</v>
      </c>
      <c r="D13" s="1012" t="s">
        <v>8</v>
      </c>
      <c r="E13" s="1110" t="s">
        <v>214</v>
      </c>
      <c r="F13" s="1012" t="s">
        <v>8</v>
      </c>
      <c r="G13" s="119" t="s">
        <v>5</v>
      </c>
    </row>
    <row r="14" spans="1:9">
      <c r="A14" s="119"/>
      <c r="B14" s="156"/>
      <c r="C14" s="954"/>
      <c r="D14" s="116"/>
      <c r="E14" s="121"/>
      <c r="F14" s="116"/>
      <c r="G14" s="119"/>
    </row>
    <row r="15" spans="1:9">
      <c r="A15" s="119">
        <v>1</v>
      </c>
      <c r="B15" s="122" t="str">
        <f>"Dec-"&amp;RIGHT(Automation!$B$3-1,2)</f>
        <v>Dec-23</v>
      </c>
      <c r="C15" s="123">
        <v>10855749.871329978</v>
      </c>
      <c r="D15" s="157" t="s">
        <v>215</v>
      </c>
      <c r="E15" s="125">
        <v>11031887.66371526</v>
      </c>
      <c r="F15" s="157" t="s">
        <v>924</v>
      </c>
      <c r="G15" s="119">
        <f>A15</f>
        <v>1</v>
      </c>
      <c r="H15" s="629"/>
      <c r="I15" s="1200"/>
    </row>
    <row r="16" spans="1:9">
      <c r="A16" s="119">
        <f>A15+1</f>
        <v>2</v>
      </c>
      <c r="B16" s="122"/>
      <c r="C16" s="127"/>
      <c r="D16" s="157"/>
      <c r="E16" s="129"/>
      <c r="F16" s="157"/>
      <c r="G16" s="119">
        <f>G15+1</f>
        <v>2</v>
      </c>
    </row>
    <row r="17" spans="1:9" ht="15.75" customHeight="1">
      <c r="A17" s="119">
        <f t="shared" ref="A17:A21" si="0">A16+1</f>
        <v>3</v>
      </c>
      <c r="B17" s="122" t="str">
        <f>"Dec-"&amp;RIGHT(Automation!$B$3,2)</f>
        <v>Dec-24</v>
      </c>
      <c r="C17" s="127">
        <v>11684818.694049969</v>
      </c>
      <c r="D17" s="157" t="s">
        <v>215</v>
      </c>
      <c r="E17" s="127">
        <v>11900658.479583826</v>
      </c>
      <c r="F17" s="157" t="s">
        <v>925</v>
      </c>
      <c r="G17" s="119">
        <f t="shared" ref="G17:G21" si="1">G16+1</f>
        <v>3</v>
      </c>
      <c r="I17" s="126"/>
    </row>
    <row r="18" spans="1:9">
      <c r="A18" s="119">
        <f t="shared" si="0"/>
        <v>4</v>
      </c>
      <c r="B18" s="1120"/>
      <c r="C18" s="1116"/>
      <c r="D18" s="1121"/>
      <c r="E18" s="1116"/>
      <c r="F18" s="1121"/>
      <c r="G18" s="119">
        <f t="shared" si="1"/>
        <v>4</v>
      </c>
    </row>
    <row r="19" spans="1:9">
      <c r="A19" s="119">
        <f>A18+1</f>
        <v>5</v>
      </c>
      <c r="B19" s="130"/>
      <c r="C19" s="143"/>
      <c r="D19" s="130"/>
      <c r="E19" s="143"/>
      <c r="F19" s="130"/>
      <c r="G19" s="119">
        <f>G18+1</f>
        <v>5</v>
      </c>
    </row>
    <row r="20" spans="1:9">
      <c r="A20" s="119">
        <f t="shared" si="0"/>
        <v>6</v>
      </c>
      <c r="B20" s="130" t="s">
        <v>238</v>
      </c>
      <c r="C20" s="132">
        <f>(C15+C17)/2</f>
        <v>11270284.282689974</v>
      </c>
      <c r="D20" s="207" t="str">
        <f>"Average of Line "&amp;A15&amp;" and Line "&amp;A17</f>
        <v>Average of Line 1 and Line 3</v>
      </c>
      <c r="E20" s="132">
        <f>(E15+E17)/2</f>
        <v>11466273.071649544</v>
      </c>
      <c r="F20" s="158" t="str">
        <f>"Average of Line "&amp;A15&amp;" and Line "&amp;A17</f>
        <v>Average of Line 1 and Line 3</v>
      </c>
      <c r="G20" s="119">
        <f t="shared" si="1"/>
        <v>6</v>
      </c>
    </row>
    <row r="21" spans="1:9">
      <c r="A21" s="119">
        <f t="shared" si="0"/>
        <v>7</v>
      </c>
      <c r="B21" s="1013"/>
      <c r="C21" s="1112"/>
      <c r="D21" s="1035"/>
      <c r="E21" s="1112"/>
      <c r="F21" s="1122"/>
      <c r="G21" s="119">
        <f t="shared" si="1"/>
        <v>7</v>
      </c>
    </row>
    <row r="22" spans="1:9">
      <c r="B22" s="136"/>
      <c r="C22" s="136"/>
      <c r="D22" s="136"/>
      <c r="E22" s="136"/>
      <c r="F22" s="136"/>
    </row>
    <row r="23" spans="1:9">
      <c r="C23" s="136"/>
      <c r="D23" s="136"/>
      <c r="E23" s="159"/>
      <c r="F23" s="136"/>
    </row>
    <row r="24" spans="1:9" ht="18.75">
      <c r="A24" s="135">
        <v>1</v>
      </c>
      <c r="B24" s="136" t="s">
        <v>227</v>
      </c>
      <c r="C24" s="136"/>
      <c r="D24" s="136"/>
      <c r="E24" s="136"/>
      <c r="F24" s="136"/>
    </row>
    <row r="25" spans="1:9">
      <c r="B25" s="136" t="s">
        <v>228</v>
      </c>
      <c r="C25" s="136"/>
      <c r="D25" s="136"/>
      <c r="E25" s="136"/>
      <c r="F25" s="136"/>
    </row>
    <row r="26" spans="1:9">
      <c r="C26" s="136"/>
      <c r="D26" s="136"/>
      <c r="E26" s="136"/>
      <c r="F26" s="136"/>
    </row>
    <row r="27" spans="1:9" ht="18.75">
      <c r="A27" s="135"/>
      <c r="B27" s="136"/>
      <c r="C27" s="136"/>
      <c r="D27" s="136"/>
      <c r="E27" s="136"/>
      <c r="F27" s="136"/>
    </row>
    <row r="28" spans="1:9">
      <c r="A28" s="119"/>
      <c r="B28" s="136"/>
    </row>
    <row r="29" spans="1:9">
      <c r="A29" s="119"/>
      <c r="B29" s="136"/>
      <c r="H29" s="193"/>
    </row>
    <row r="30" spans="1:9">
      <c r="B30" s="136"/>
    </row>
    <row r="31" spans="1:9">
      <c r="B31" s="136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K47"/>
  <sheetViews>
    <sheetView zoomScale="80" zoomScaleNormal="80" workbookViewId="0">
      <selection activeCell="F37" sqref="F37"/>
    </sheetView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14" customWidth="1"/>
    <col min="5" max="5" width="18.5703125" style="110" customWidth="1"/>
    <col min="6" max="6" width="62.5703125" style="110" customWidth="1"/>
    <col min="7" max="7" width="5.140625" style="109" customWidth="1"/>
    <col min="8" max="8" width="24" style="110" customWidth="1"/>
    <col min="9" max="9" width="11" style="110" customWidth="1"/>
    <col min="10" max="10" width="9.5703125" style="110" customWidth="1"/>
    <col min="11" max="11" width="9.140625" style="110" customWidth="1"/>
    <col min="12" max="12" width="14" style="110" customWidth="1"/>
    <col min="13" max="13" width="13.42578125" style="110" customWidth="1"/>
    <col min="14" max="16384" width="9.140625" style="110"/>
  </cols>
  <sheetData>
    <row r="2" spans="1:11">
      <c r="B2" s="1287" t="s">
        <v>0</v>
      </c>
      <c r="C2" s="1287"/>
      <c r="D2" s="1287"/>
      <c r="E2" s="1287"/>
      <c r="F2" s="1287"/>
    </row>
    <row r="3" spans="1:11">
      <c r="B3" s="1287" t="s">
        <v>208</v>
      </c>
      <c r="C3" s="1287"/>
      <c r="D3" s="1287"/>
      <c r="E3" s="1287"/>
      <c r="F3" s="1287"/>
    </row>
    <row r="4" spans="1:11">
      <c r="B4" s="1287" t="s">
        <v>209</v>
      </c>
      <c r="C4" s="1287"/>
      <c r="D4" s="1287"/>
      <c r="E4" s="1287"/>
      <c r="F4" s="1287"/>
    </row>
    <row r="5" spans="1:11">
      <c r="B5" s="1287" t="str">
        <f>"BASE PERIOD / TRUE UP PERIOD - 12/31/"&amp;Automation!$B$3&amp;" PER BOOK"</f>
        <v>BASE PERIOD / TRUE UP PERIOD - 12/31/2024 PER BOOK</v>
      </c>
      <c r="C5" s="1287"/>
      <c r="D5" s="1287"/>
      <c r="E5" s="1287"/>
      <c r="F5" s="1287"/>
    </row>
    <row r="6" spans="1:11">
      <c r="B6" s="1291" t="s">
        <v>3</v>
      </c>
      <c r="C6" s="1291"/>
      <c r="D6" s="1291"/>
      <c r="E6" s="1291"/>
      <c r="F6" s="1291"/>
    </row>
    <row r="7" spans="1:11">
      <c r="B7" s="111"/>
      <c r="C7" s="112"/>
      <c r="D7" s="112"/>
      <c r="E7" s="111"/>
      <c r="F7" s="111"/>
    </row>
    <row r="8" spans="1:11">
      <c r="B8" s="1287" t="s">
        <v>239</v>
      </c>
      <c r="C8" s="1287"/>
      <c r="D8" s="1287"/>
      <c r="E8" s="1287"/>
      <c r="F8" s="1287"/>
    </row>
    <row r="10" spans="1:11">
      <c r="B10" s="857"/>
      <c r="C10" s="859" t="s">
        <v>80</v>
      </c>
      <c r="D10" s="858"/>
      <c r="E10" s="859"/>
      <c r="F10" s="858"/>
    </row>
    <row r="11" spans="1:11">
      <c r="B11" s="116"/>
      <c r="C11" s="116" t="s">
        <v>240</v>
      </c>
      <c r="D11" s="121"/>
      <c r="E11" s="116" t="s">
        <v>240</v>
      </c>
      <c r="F11" s="121"/>
      <c r="G11" s="119"/>
    </row>
    <row r="12" spans="1:11">
      <c r="A12" s="119" t="s">
        <v>4</v>
      </c>
      <c r="B12" s="120"/>
      <c r="C12" s="116" t="s">
        <v>237</v>
      </c>
      <c r="D12" s="121"/>
      <c r="E12" s="116" t="s">
        <v>237</v>
      </c>
      <c r="F12" s="121"/>
      <c r="G12" s="119" t="s">
        <v>4</v>
      </c>
    </row>
    <row r="13" spans="1:11" ht="18.75">
      <c r="A13" s="119" t="s">
        <v>5</v>
      </c>
      <c r="B13" s="1012" t="s">
        <v>123</v>
      </c>
      <c r="C13" s="1012" t="s">
        <v>213</v>
      </c>
      <c r="D13" s="1110" t="s">
        <v>8</v>
      </c>
      <c r="E13" s="1012" t="s">
        <v>214</v>
      </c>
      <c r="F13" s="1110" t="s">
        <v>8</v>
      </c>
      <c r="G13" s="119" t="s">
        <v>5</v>
      </c>
    </row>
    <row r="14" spans="1:11">
      <c r="A14" s="119">
        <v>1</v>
      </c>
      <c r="B14" s="122" t="str">
        <f>"Dec-"&amp;RIGHT(Automation!$B$3-1,2)</f>
        <v>Dec-23</v>
      </c>
      <c r="C14" s="222">
        <v>8381786.0543000083</v>
      </c>
      <c r="D14" s="1234" t="s">
        <v>215</v>
      </c>
      <c r="E14" s="526">
        <v>8232399.6584847281</v>
      </c>
      <c r="F14" s="1234" t="s">
        <v>924</v>
      </c>
      <c r="G14" s="119">
        <f>A14</f>
        <v>1</v>
      </c>
      <c r="H14" s="126"/>
      <c r="K14" s="155"/>
    </row>
    <row r="15" spans="1:11">
      <c r="A15" s="119">
        <f>A14+1</f>
        <v>2</v>
      </c>
      <c r="B15" s="122" t="str">
        <f>"Jan-"&amp;RIGHT(Automation!$B$3,2)</f>
        <v>Jan-24</v>
      </c>
      <c r="C15" s="149">
        <v>8393678.8092899974</v>
      </c>
      <c r="D15" s="1250"/>
      <c r="E15" s="208">
        <v>8228824.0889611412</v>
      </c>
      <c r="F15" s="1250"/>
      <c r="G15" s="119">
        <f>G14+1</f>
        <v>2</v>
      </c>
      <c r="H15" s="155"/>
      <c r="K15" s="155"/>
    </row>
    <row r="16" spans="1:11">
      <c r="A16" s="119">
        <f t="shared" ref="A16:A36" si="0">A15+1</f>
        <v>3</v>
      </c>
      <c r="B16" s="122" t="s">
        <v>216</v>
      </c>
      <c r="C16" s="149">
        <v>8403500.8650400005</v>
      </c>
      <c r="D16" s="1250"/>
      <c r="E16" s="208">
        <v>8243847.9425111441</v>
      </c>
      <c r="F16" s="1250"/>
      <c r="G16" s="119">
        <f t="shared" ref="G16:G36" si="1">G15+1</f>
        <v>3</v>
      </c>
      <c r="H16" s="155"/>
      <c r="K16" s="155"/>
    </row>
    <row r="17" spans="1:11">
      <c r="A17" s="119">
        <f t="shared" si="0"/>
        <v>4</v>
      </c>
      <c r="B17" s="122" t="s">
        <v>217</v>
      </c>
      <c r="C17" s="149">
        <v>8409682.7701999936</v>
      </c>
      <c r="D17" s="1250"/>
      <c r="E17" s="208">
        <v>8250037.2298911372</v>
      </c>
      <c r="F17" s="1250"/>
      <c r="G17" s="119">
        <f t="shared" si="1"/>
        <v>4</v>
      </c>
      <c r="H17" s="155"/>
      <c r="K17" s="155"/>
    </row>
    <row r="18" spans="1:11">
      <c r="A18" s="119">
        <f t="shared" si="0"/>
        <v>5</v>
      </c>
      <c r="B18" s="122" t="s">
        <v>218</v>
      </c>
      <c r="C18" s="149">
        <v>8468927.4627899993</v>
      </c>
      <c r="D18" s="1250"/>
      <c r="E18" s="208">
        <v>8301201.4049986433</v>
      </c>
      <c r="F18" s="1250"/>
      <c r="G18" s="119">
        <f t="shared" si="1"/>
        <v>5</v>
      </c>
      <c r="H18" s="155"/>
      <c r="K18" s="155"/>
    </row>
    <row r="19" spans="1:11">
      <c r="A19" s="119">
        <f t="shared" si="0"/>
        <v>6</v>
      </c>
      <c r="B19" s="122" t="s">
        <v>160</v>
      </c>
      <c r="C19" s="149">
        <v>8483092.0777300037</v>
      </c>
      <c r="D19" s="1250"/>
      <c r="E19" s="208">
        <v>8314410.5331961475</v>
      </c>
      <c r="F19" s="1250"/>
      <c r="G19" s="119">
        <f t="shared" si="1"/>
        <v>6</v>
      </c>
      <c r="H19" s="155"/>
      <c r="K19" s="155"/>
    </row>
    <row r="20" spans="1:11">
      <c r="A20" s="119">
        <f>A19+1</f>
        <v>7</v>
      </c>
      <c r="B20" s="122" t="s">
        <v>219</v>
      </c>
      <c r="C20" s="149">
        <v>8514138.651639998</v>
      </c>
      <c r="D20" s="1250"/>
      <c r="E20" s="208">
        <v>8345549.8600361422</v>
      </c>
      <c r="F20" s="1250"/>
      <c r="G20" s="119">
        <f>G19+1</f>
        <v>7</v>
      </c>
      <c r="H20" s="155"/>
      <c r="K20" s="155"/>
    </row>
    <row r="21" spans="1:11">
      <c r="A21" s="119">
        <f t="shared" si="0"/>
        <v>8</v>
      </c>
      <c r="B21" s="122" t="s">
        <v>220</v>
      </c>
      <c r="C21" s="149">
        <v>8528703.3100799993</v>
      </c>
      <c r="D21" s="1250"/>
      <c r="E21" s="208">
        <v>8360659.864641143</v>
      </c>
      <c r="F21" s="1250"/>
      <c r="G21" s="119">
        <f t="shared" si="1"/>
        <v>8</v>
      </c>
      <c r="H21" s="155"/>
      <c r="K21" s="155"/>
    </row>
    <row r="22" spans="1:11">
      <c r="A22" s="119">
        <f t="shared" si="0"/>
        <v>9</v>
      </c>
      <c r="B22" s="122" t="s">
        <v>221</v>
      </c>
      <c r="C22" s="149">
        <v>8554763.1626600046</v>
      </c>
      <c r="D22" s="1250"/>
      <c r="E22" s="208">
        <v>8385866.3523211489</v>
      </c>
      <c r="F22" s="1250"/>
      <c r="G22" s="119">
        <f t="shared" si="1"/>
        <v>9</v>
      </c>
      <c r="H22" s="155"/>
      <c r="K22" s="155"/>
    </row>
    <row r="23" spans="1:11">
      <c r="A23" s="119">
        <f t="shared" si="0"/>
        <v>10</v>
      </c>
      <c r="B23" s="122" t="s">
        <v>222</v>
      </c>
      <c r="C23" s="149">
        <v>8593229.2658799905</v>
      </c>
      <c r="D23" s="1250"/>
      <c r="E23" s="208">
        <v>8422321.0130861346</v>
      </c>
      <c r="F23" s="1250"/>
      <c r="G23" s="119">
        <f t="shared" si="1"/>
        <v>10</v>
      </c>
      <c r="H23" s="155"/>
      <c r="K23" s="155"/>
    </row>
    <row r="24" spans="1:11">
      <c r="A24" s="119">
        <f t="shared" si="0"/>
        <v>11</v>
      </c>
      <c r="B24" s="122" t="s">
        <v>223</v>
      </c>
      <c r="C24" s="149">
        <v>8606956.1893300042</v>
      </c>
      <c r="D24" s="1250"/>
      <c r="E24" s="208">
        <v>8435982.391721148</v>
      </c>
      <c r="F24" s="1250"/>
      <c r="G24" s="119">
        <f t="shared" si="1"/>
        <v>11</v>
      </c>
      <c r="H24" s="155"/>
      <c r="K24" s="155"/>
    </row>
    <row r="25" spans="1:11">
      <c r="A25" s="119">
        <f t="shared" si="0"/>
        <v>12</v>
      </c>
      <c r="B25" s="122" t="s">
        <v>224</v>
      </c>
      <c r="C25" s="149">
        <v>8659862.6564699933</v>
      </c>
      <c r="D25" s="1250"/>
      <c r="E25" s="208">
        <v>8488867.9566511363</v>
      </c>
      <c r="F25" s="1250"/>
      <c r="G25" s="119">
        <f t="shared" si="1"/>
        <v>12</v>
      </c>
      <c r="H25" s="155"/>
      <c r="K25" s="155"/>
    </row>
    <row r="26" spans="1:11">
      <c r="A26" s="119">
        <f t="shared" si="0"/>
        <v>13</v>
      </c>
      <c r="B26" s="1029" t="str">
        <f>"Dec-"&amp;RIGHT(Automation!$B$3,2)</f>
        <v>Dec-24</v>
      </c>
      <c r="C26" s="1117">
        <v>8747995.4415899906</v>
      </c>
      <c r="D26" s="1251" t="s">
        <v>215</v>
      </c>
      <c r="E26" s="1123">
        <v>8558532.0760361347</v>
      </c>
      <c r="F26" s="1234" t="s">
        <v>925</v>
      </c>
      <c r="G26" s="119">
        <f t="shared" si="1"/>
        <v>13</v>
      </c>
      <c r="H26" s="126"/>
      <c r="K26" s="155"/>
    </row>
    <row r="27" spans="1:11">
      <c r="A27" s="119">
        <f t="shared" si="0"/>
        <v>14</v>
      </c>
      <c r="B27" s="130"/>
      <c r="C27" s="1255"/>
      <c r="D27" s="1252"/>
      <c r="E27" s="148"/>
      <c r="F27" s="924"/>
      <c r="G27" s="119">
        <f t="shared" si="1"/>
        <v>14</v>
      </c>
    </row>
    <row r="28" spans="1:11">
      <c r="A28" s="119">
        <f t="shared" si="0"/>
        <v>15</v>
      </c>
      <c r="B28" s="130" t="s">
        <v>225</v>
      </c>
      <c r="C28" s="202">
        <f>SUM(C14:C26)</f>
        <v>110746316.71699999</v>
      </c>
      <c r="D28" s="203" t="str">
        <f>"Sum Lines "&amp;A14&amp;" thru "&amp;A26</f>
        <v>Sum Lines 1 thru 13</v>
      </c>
      <c r="E28" s="202">
        <f>SUM(E14:E26)</f>
        <v>108568500.37253594</v>
      </c>
      <c r="F28" s="203" t="str">
        <f>"Sum Lines "&amp;A14&amp;" thru "&amp;A26</f>
        <v>Sum Lines 1 thru 13</v>
      </c>
      <c r="G28" s="119">
        <f t="shared" si="1"/>
        <v>15</v>
      </c>
    </row>
    <row r="29" spans="1:11">
      <c r="A29" s="119">
        <f t="shared" si="0"/>
        <v>16</v>
      </c>
      <c r="B29" s="1013"/>
      <c r="C29" s="1038"/>
      <c r="D29" s="1253"/>
      <c r="E29" s="1038"/>
      <c r="F29" s="1253"/>
      <c r="G29" s="119">
        <f t="shared" si="1"/>
        <v>16</v>
      </c>
    </row>
    <row r="30" spans="1:11">
      <c r="A30" s="119">
        <f t="shared" si="0"/>
        <v>17</v>
      </c>
      <c r="B30" s="130"/>
      <c r="C30" s="148"/>
      <c r="D30" s="1235"/>
      <c r="E30" s="148"/>
      <c r="F30" s="1235"/>
      <c r="G30" s="119">
        <f t="shared" si="1"/>
        <v>17</v>
      </c>
    </row>
    <row r="31" spans="1:11">
      <c r="A31" s="119">
        <f t="shared" si="0"/>
        <v>18</v>
      </c>
      <c r="B31" s="130" t="s">
        <v>226</v>
      </c>
      <c r="C31" s="202">
        <f>C28/13</f>
        <v>8518947.4397692308</v>
      </c>
      <c r="D31" s="203" t="str">
        <f>"Average of Lines "&amp;A14&amp;" thru "&amp;A26</f>
        <v>Average of Lines 1 thru 13</v>
      </c>
      <c r="E31" s="202">
        <f>E28/13</f>
        <v>8351423.1055796882</v>
      </c>
      <c r="F31" s="1234" t="s">
        <v>926</v>
      </c>
      <c r="G31" s="119">
        <f t="shared" si="1"/>
        <v>18</v>
      </c>
      <c r="H31" s="126"/>
    </row>
    <row r="32" spans="1:11">
      <c r="A32" s="119">
        <f t="shared" si="0"/>
        <v>19</v>
      </c>
      <c r="B32" s="1013"/>
      <c r="C32" s="1256"/>
      <c r="D32" s="1113"/>
      <c r="E32" s="1256"/>
      <c r="F32" s="1113"/>
      <c r="G32" s="119">
        <f t="shared" si="1"/>
        <v>19</v>
      </c>
    </row>
    <row r="33" spans="1:7">
      <c r="A33" s="119">
        <f t="shared" si="0"/>
        <v>20</v>
      </c>
      <c r="B33" s="136"/>
      <c r="C33" s="136"/>
      <c r="D33" s="136"/>
      <c r="E33" s="136"/>
      <c r="F33" s="136"/>
      <c r="G33" s="119">
        <f t="shared" si="1"/>
        <v>20</v>
      </c>
    </row>
    <row r="34" spans="1:7" ht="18.75">
      <c r="A34" s="119">
        <f t="shared" si="0"/>
        <v>21</v>
      </c>
      <c r="B34" s="136" t="s">
        <v>241</v>
      </c>
      <c r="C34" s="136"/>
      <c r="D34" s="136"/>
      <c r="E34" s="1125">
        <f>'AD-6A'!E31</f>
        <v>27000</v>
      </c>
      <c r="F34" s="119" t="s">
        <v>47</v>
      </c>
      <c r="G34" s="119">
        <f t="shared" si="1"/>
        <v>21</v>
      </c>
    </row>
    <row r="35" spans="1:7">
      <c r="A35" s="119">
        <f t="shared" si="0"/>
        <v>22</v>
      </c>
      <c r="B35" s="136"/>
      <c r="C35" s="136"/>
      <c r="D35" s="136"/>
      <c r="E35" s="136"/>
      <c r="F35" s="136"/>
      <c r="G35" s="119">
        <f t="shared" si="1"/>
        <v>22</v>
      </c>
    </row>
    <row r="36" spans="1:7" ht="16.5" thickBot="1">
      <c r="A36" s="119">
        <f t="shared" si="0"/>
        <v>23</v>
      </c>
      <c r="B36" s="110" t="s">
        <v>242</v>
      </c>
      <c r="C36" s="136"/>
      <c r="D36" s="136"/>
      <c r="E36" s="322">
        <f>E31+E34</f>
        <v>8378423.1055796882</v>
      </c>
      <c r="F36" s="119" t="str">
        <f>"Line "&amp;A31&amp;" + Line "&amp;A34</f>
        <v>Line 18 + Line 21</v>
      </c>
      <c r="G36" s="119">
        <f t="shared" si="1"/>
        <v>23</v>
      </c>
    </row>
    <row r="37" spans="1:7" ht="16.5" thickTop="1">
      <c r="A37" s="119"/>
      <c r="B37" s="136"/>
      <c r="C37" s="136"/>
      <c r="D37" s="136"/>
      <c r="E37" s="136"/>
      <c r="F37" s="136"/>
    </row>
    <row r="38" spans="1:7">
      <c r="D38" s="136"/>
      <c r="E38" s="159"/>
      <c r="F38" s="136"/>
    </row>
    <row r="39" spans="1:7" ht="18.75">
      <c r="A39" s="135">
        <v>1</v>
      </c>
      <c r="B39" s="136" t="s">
        <v>227</v>
      </c>
      <c r="C39" s="136"/>
      <c r="D39" s="136"/>
      <c r="E39" s="136"/>
      <c r="F39" s="136"/>
    </row>
    <row r="40" spans="1:7">
      <c r="B40" s="136" t="s">
        <v>228</v>
      </c>
      <c r="C40" s="161"/>
      <c r="D40" s="136"/>
      <c r="E40" s="136"/>
      <c r="F40" s="136"/>
    </row>
    <row r="41" spans="1:7">
      <c r="B41" s="136"/>
      <c r="C41" s="161"/>
      <c r="D41" s="136"/>
      <c r="E41" s="136"/>
      <c r="F41" s="136"/>
    </row>
    <row r="42" spans="1:7" ht="18.75">
      <c r="A42" s="135">
        <v>2</v>
      </c>
      <c r="B42" s="136" t="s">
        <v>243</v>
      </c>
      <c r="C42" s="136"/>
      <c r="D42" s="136"/>
      <c r="E42" s="136"/>
      <c r="F42" s="136"/>
    </row>
    <row r="43" spans="1:7">
      <c r="B43" s="136"/>
      <c r="C43" s="136"/>
      <c r="D43" s="136"/>
      <c r="E43" s="136"/>
      <c r="F43" s="136"/>
    </row>
    <row r="44" spans="1:7" ht="18.75">
      <c r="A44" s="135"/>
      <c r="B44" s="216"/>
      <c r="C44" s="136"/>
      <c r="D44" s="110"/>
    </row>
    <row r="45" spans="1:7">
      <c r="B45" s="216"/>
    </row>
    <row r="47" spans="1:7">
      <c r="A47" s="1086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F8D0-702E-479C-91B7-24EB0EF37AA6}">
  <sheetPr>
    <pageSetUpPr fitToPage="1"/>
  </sheetPr>
  <dimension ref="A2:I47"/>
  <sheetViews>
    <sheetView zoomScale="80" zoomScaleNormal="80" workbookViewId="0">
      <selection activeCell="E14" sqref="E14"/>
    </sheetView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15" customWidth="1"/>
    <col min="5" max="5" width="18.5703125" style="110" customWidth="1"/>
    <col min="6" max="6" width="57.570312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42578125" style="110" customWidth="1"/>
    <col min="14" max="16384" width="9.140625" style="110"/>
  </cols>
  <sheetData>
    <row r="2" spans="1:9">
      <c r="B2" s="1287" t="s">
        <v>0</v>
      </c>
      <c r="C2" s="1287"/>
      <c r="D2" s="1287"/>
      <c r="E2" s="1287"/>
      <c r="F2" s="1287"/>
    </row>
    <row r="3" spans="1:9">
      <c r="B3" s="1287" t="s">
        <v>208</v>
      </c>
      <c r="C3" s="1287"/>
      <c r="D3" s="1287"/>
      <c r="E3" s="1287"/>
      <c r="F3" s="1287"/>
    </row>
    <row r="4" spans="1:9">
      <c r="B4" s="1287" t="s">
        <v>209</v>
      </c>
      <c r="C4" s="1287"/>
      <c r="D4" s="1287"/>
      <c r="E4" s="1287"/>
      <c r="F4" s="1287"/>
    </row>
    <row r="5" spans="1:9">
      <c r="B5" s="1287" t="str">
        <f>"BASE PERIOD / TRUE UP PERIOD - 12/31/"&amp;Automation!$B$3&amp;" PER BOOK"</f>
        <v>BASE PERIOD / TRUE UP PERIOD - 12/31/2024 PER BOOK</v>
      </c>
      <c r="C5" s="1287"/>
      <c r="D5" s="1287"/>
      <c r="E5" s="1287"/>
      <c r="F5" s="1287"/>
    </row>
    <row r="6" spans="1:9">
      <c r="B6" s="1291" t="s">
        <v>3</v>
      </c>
      <c r="C6" s="1291"/>
      <c r="D6" s="1291"/>
      <c r="E6" s="1291"/>
      <c r="F6" s="1291"/>
    </row>
    <row r="7" spans="1:9">
      <c r="B7" s="111"/>
      <c r="C7" s="112"/>
      <c r="D7" s="113"/>
      <c r="E7" s="111"/>
      <c r="F7" s="111"/>
    </row>
    <row r="8" spans="1:9">
      <c r="B8" s="1287" t="s">
        <v>239</v>
      </c>
      <c r="C8" s="1287"/>
      <c r="D8" s="1287"/>
      <c r="E8" s="1287"/>
      <c r="F8" s="1287"/>
    </row>
    <row r="10" spans="1:9">
      <c r="B10" s="857"/>
      <c r="C10" s="858" t="s">
        <v>80</v>
      </c>
      <c r="D10" s="859"/>
      <c r="E10" s="858"/>
      <c r="F10" s="859"/>
    </row>
    <row r="11" spans="1:9">
      <c r="B11" s="116"/>
      <c r="C11" s="109" t="s">
        <v>240</v>
      </c>
      <c r="D11" s="116"/>
      <c r="E11" s="117" t="s">
        <v>240</v>
      </c>
      <c r="F11" s="118"/>
    </row>
    <row r="12" spans="1:9">
      <c r="A12" s="119" t="s">
        <v>4</v>
      </c>
      <c r="B12" s="120"/>
      <c r="C12" s="109" t="s">
        <v>237</v>
      </c>
      <c r="D12" s="116"/>
      <c r="E12" s="121" t="s">
        <v>237</v>
      </c>
      <c r="F12" s="118"/>
      <c r="G12" s="119" t="s">
        <v>4</v>
      </c>
    </row>
    <row r="13" spans="1:9" ht="18.75">
      <c r="A13" s="119" t="s">
        <v>5</v>
      </c>
      <c r="B13" s="1012" t="s">
        <v>123</v>
      </c>
      <c r="C13" s="1109" t="s">
        <v>213</v>
      </c>
      <c r="D13" s="1012" t="s">
        <v>8</v>
      </c>
      <c r="E13" s="1110" t="s">
        <v>244</v>
      </c>
      <c r="F13" s="1012" t="s">
        <v>8</v>
      </c>
      <c r="G13" s="119" t="s">
        <v>5</v>
      </c>
    </row>
    <row r="14" spans="1:9">
      <c r="A14" s="119">
        <v>1</v>
      </c>
      <c r="B14" s="122" t="str">
        <f>"Dec-"&amp;RIGHT(Automation!$B$3-1,2)</f>
        <v>Dec-23</v>
      </c>
      <c r="C14" s="123">
        <v>0</v>
      </c>
      <c r="D14" s="157" t="s">
        <v>215</v>
      </c>
      <c r="E14" s="129">
        <v>27000</v>
      </c>
      <c r="F14" s="157" t="s">
        <v>215</v>
      </c>
      <c r="G14" s="119">
        <f>A14</f>
        <v>1</v>
      </c>
      <c r="I14" s="126"/>
    </row>
    <row r="15" spans="1:9">
      <c r="A15" s="119">
        <f>A14+1</f>
        <v>2</v>
      </c>
      <c r="B15" s="122" t="str">
        <f>"Jan-"&amp;RIGHT(Automation!$B$3,2)</f>
        <v>Jan-24</v>
      </c>
      <c r="C15" s="127">
        <v>0</v>
      </c>
      <c r="D15" s="128"/>
      <c r="E15" s="129">
        <v>27000</v>
      </c>
      <c r="F15" s="128"/>
      <c r="G15" s="119">
        <f>G14+1</f>
        <v>2</v>
      </c>
    </row>
    <row r="16" spans="1:9">
      <c r="A16" s="119">
        <f t="shared" ref="A16:A32" si="0">A15+1</f>
        <v>3</v>
      </c>
      <c r="B16" s="122" t="s">
        <v>216</v>
      </c>
      <c r="C16" s="127">
        <v>0</v>
      </c>
      <c r="D16" s="128"/>
      <c r="E16" s="129">
        <v>27000</v>
      </c>
      <c r="F16" s="128"/>
      <c r="G16" s="119">
        <f t="shared" ref="G16:G32" si="1">G15+1</f>
        <v>3</v>
      </c>
    </row>
    <row r="17" spans="1:9">
      <c r="A17" s="119">
        <f t="shared" si="0"/>
        <v>4</v>
      </c>
      <c r="B17" s="122" t="s">
        <v>217</v>
      </c>
      <c r="C17" s="127">
        <v>0</v>
      </c>
      <c r="D17" s="128"/>
      <c r="E17" s="129">
        <v>27000</v>
      </c>
      <c r="F17" s="128"/>
      <c r="G17" s="119">
        <f t="shared" si="1"/>
        <v>4</v>
      </c>
    </row>
    <row r="18" spans="1:9">
      <c r="A18" s="119">
        <f t="shared" si="0"/>
        <v>5</v>
      </c>
      <c r="B18" s="122" t="s">
        <v>218</v>
      </c>
      <c r="C18" s="127">
        <v>0</v>
      </c>
      <c r="D18" s="128"/>
      <c r="E18" s="129">
        <v>27000</v>
      </c>
      <c r="F18" s="128"/>
      <c r="G18" s="119">
        <f t="shared" si="1"/>
        <v>5</v>
      </c>
    </row>
    <row r="19" spans="1:9">
      <c r="A19" s="119">
        <f t="shared" si="0"/>
        <v>6</v>
      </c>
      <c r="B19" s="122" t="s">
        <v>160</v>
      </c>
      <c r="C19" s="127">
        <v>0</v>
      </c>
      <c r="D19" s="128"/>
      <c r="E19" s="129">
        <v>27000</v>
      </c>
      <c r="F19" s="128"/>
      <c r="G19" s="119">
        <f t="shared" si="1"/>
        <v>6</v>
      </c>
    </row>
    <row r="20" spans="1:9">
      <c r="A20" s="119">
        <f>A19+1</f>
        <v>7</v>
      </c>
      <c r="B20" s="122" t="s">
        <v>219</v>
      </c>
      <c r="C20" s="127">
        <v>0</v>
      </c>
      <c r="D20" s="128"/>
      <c r="E20" s="129">
        <v>27000</v>
      </c>
      <c r="F20" s="128"/>
      <c r="G20" s="119">
        <f>G19+1</f>
        <v>7</v>
      </c>
    </row>
    <row r="21" spans="1:9">
      <c r="A21" s="119">
        <f t="shared" si="0"/>
        <v>8</v>
      </c>
      <c r="B21" s="122" t="s">
        <v>220</v>
      </c>
      <c r="C21" s="127">
        <v>0</v>
      </c>
      <c r="D21" s="128"/>
      <c r="E21" s="129">
        <v>27000</v>
      </c>
      <c r="F21" s="128"/>
      <c r="G21" s="119">
        <f t="shared" si="1"/>
        <v>8</v>
      </c>
    </row>
    <row r="22" spans="1:9">
      <c r="A22" s="119">
        <f t="shared" si="0"/>
        <v>9</v>
      </c>
      <c r="B22" s="122" t="s">
        <v>221</v>
      </c>
      <c r="C22" s="127">
        <v>0</v>
      </c>
      <c r="D22" s="128"/>
      <c r="E22" s="129">
        <v>27000</v>
      </c>
      <c r="F22" s="128"/>
      <c r="G22" s="119">
        <f t="shared" si="1"/>
        <v>9</v>
      </c>
    </row>
    <row r="23" spans="1:9">
      <c r="A23" s="119">
        <f t="shared" si="0"/>
        <v>10</v>
      </c>
      <c r="B23" s="122" t="s">
        <v>222</v>
      </c>
      <c r="C23" s="127">
        <v>0</v>
      </c>
      <c r="D23" s="128"/>
      <c r="E23" s="129">
        <v>27000</v>
      </c>
      <c r="F23" s="128"/>
      <c r="G23" s="119">
        <f t="shared" si="1"/>
        <v>10</v>
      </c>
    </row>
    <row r="24" spans="1:9">
      <c r="A24" s="119">
        <f t="shared" si="0"/>
        <v>11</v>
      </c>
      <c r="B24" s="122" t="s">
        <v>223</v>
      </c>
      <c r="C24" s="127">
        <v>0</v>
      </c>
      <c r="D24" s="128"/>
      <c r="E24" s="129">
        <v>27000</v>
      </c>
      <c r="F24" s="128"/>
      <c r="G24" s="119">
        <f t="shared" si="1"/>
        <v>11</v>
      </c>
    </row>
    <row r="25" spans="1:9">
      <c r="A25" s="119">
        <f t="shared" si="0"/>
        <v>12</v>
      </c>
      <c r="B25" s="122" t="s">
        <v>224</v>
      </c>
      <c r="C25" s="127">
        <v>0</v>
      </c>
      <c r="D25" s="128"/>
      <c r="E25" s="129">
        <v>27000</v>
      </c>
      <c r="F25" s="128"/>
      <c r="G25" s="119">
        <f t="shared" si="1"/>
        <v>12</v>
      </c>
    </row>
    <row r="26" spans="1:9">
      <c r="A26" s="119">
        <f t="shared" si="0"/>
        <v>13</v>
      </c>
      <c r="B26" s="1029" t="str">
        <f>"Dec-"&amp;RIGHT(Automation!$B$3,2)</f>
        <v>Dec-24</v>
      </c>
      <c r="C26" s="1111">
        <v>0</v>
      </c>
      <c r="D26" s="1018" t="s">
        <v>215</v>
      </c>
      <c r="E26" s="1123">
        <v>27000</v>
      </c>
      <c r="F26" s="158" t="str">
        <f>Automation!B3&amp;" Form 1; Page 213; Line 2; Col. f"</f>
        <v>2024 Form 1; Page 213; Line 2; Col. f</v>
      </c>
      <c r="G26" s="119">
        <f t="shared" si="1"/>
        <v>13</v>
      </c>
      <c r="I26" s="126"/>
    </row>
    <row r="27" spans="1:9">
      <c r="A27" s="119">
        <f t="shared" si="0"/>
        <v>14</v>
      </c>
      <c r="B27" s="130"/>
      <c r="C27" s="924"/>
      <c r="D27" s="857"/>
      <c r="E27" s="131"/>
      <c r="F27" s="857"/>
      <c r="G27" s="119">
        <f t="shared" si="1"/>
        <v>14</v>
      </c>
    </row>
    <row r="28" spans="1:9">
      <c r="A28" s="119">
        <f t="shared" si="0"/>
        <v>15</v>
      </c>
      <c r="B28" s="130" t="s">
        <v>225</v>
      </c>
      <c r="C28" s="132">
        <f>SUM(C14:C26)</f>
        <v>0</v>
      </c>
      <c r="D28" s="158" t="str">
        <f>"Sum Lines "&amp;A14&amp;" thru "&amp;A26</f>
        <v>Sum Lines 1 thru 13</v>
      </c>
      <c r="E28" s="132">
        <f>SUM(E14:E26)</f>
        <v>351000</v>
      </c>
      <c r="F28" s="158" t="str">
        <f>"Sum Lines "&amp;A14&amp;" thru "&amp;A26</f>
        <v>Sum Lines 1 thru 13</v>
      </c>
      <c r="G28" s="119">
        <f t="shared" si="1"/>
        <v>15</v>
      </c>
    </row>
    <row r="29" spans="1:9">
      <c r="A29" s="119">
        <f t="shared" si="0"/>
        <v>16</v>
      </c>
      <c r="B29" s="1013"/>
      <c r="C29" s="1112"/>
      <c r="D29" s="1013"/>
      <c r="E29" s="1112"/>
      <c r="F29" s="1013"/>
      <c r="G29" s="119">
        <f t="shared" si="1"/>
        <v>16</v>
      </c>
    </row>
    <row r="30" spans="1:9">
      <c r="A30" s="119">
        <f t="shared" si="0"/>
        <v>17</v>
      </c>
      <c r="B30" s="130"/>
      <c r="C30" s="132"/>
      <c r="D30" s="130"/>
      <c r="E30" s="132"/>
      <c r="F30" s="130"/>
      <c r="G30" s="119">
        <f t="shared" si="1"/>
        <v>17</v>
      </c>
    </row>
    <row r="31" spans="1:9">
      <c r="A31" s="119">
        <f t="shared" si="0"/>
        <v>18</v>
      </c>
      <c r="B31" s="130" t="s">
        <v>226</v>
      </c>
      <c r="C31" s="132">
        <f>C28/13</f>
        <v>0</v>
      </c>
      <c r="D31" s="158" t="str">
        <f>"Average of Lines "&amp;A14&amp;" thru "&amp;A26</f>
        <v>Average of Lines 1 thru 13</v>
      </c>
      <c r="E31" s="132">
        <f>E28/13</f>
        <v>27000</v>
      </c>
      <c r="F31" s="158" t="str">
        <f>"Average of Lines "&amp;A14&amp;" thru "&amp;A26</f>
        <v>Average of Lines 1 thru 13</v>
      </c>
      <c r="G31" s="119">
        <f t="shared" si="1"/>
        <v>18</v>
      </c>
      <c r="H31" s="126"/>
      <c r="I31" s="126"/>
    </row>
    <row r="32" spans="1:9">
      <c r="A32" s="119">
        <f t="shared" si="0"/>
        <v>19</v>
      </c>
      <c r="B32" s="1013"/>
      <c r="C32" s="1113"/>
      <c r="D32" s="1013"/>
      <c r="E32" s="1113"/>
      <c r="F32" s="1013"/>
      <c r="G32" s="119">
        <f t="shared" si="1"/>
        <v>19</v>
      </c>
    </row>
    <row r="33" spans="1:5">
      <c r="A33" s="119"/>
      <c r="C33" s="134"/>
      <c r="D33" s="110"/>
      <c r="E33" s="134"/>
    </row>
    <row r="34" spans="1:5">
      <c r="C34" s="134"/>
      <c r="D34" s="110"/>
      <c r="E34" s="134"/>
    </row>
    <row r="35" spans="1:5" ht="18.75">
      <c r="A35" s="135">
        <v>1</v>
      </c>
      <c r="B35" s="136" t="s">
        <v>245</v>
      </c>
      <c r="C35" s="134"/>
      <c r="D35" s="110"/>
      <c r="E35" s="134"/>
    </row>
    <row r="36" spans="1:5">
      <c r="B36" s="136"/>
      <c r="C36" s="134"/>
      <c r="D36" s="110"/>
      <c r="E36" s="134"/>
    </row>
    <row r="37" spans="1:5">
      <c r="B37" s="136"/>
      <c r="C37" s="134"/>
      <c r="D37" s="110"/>
      <c r="E37" s="134"/>
    </row>
    <row r="38" spans="1:5">
      <c r="B38" s="136"/>
      <c r="C38" s="134"/>
      <c r="D38" s="110"/>
      <c r="E38" s="134"/>
    </row>
    <row r="39" spans="1:5">
      <c r="C39" s="137"/>
      <c r="E39" s="134"/>
    </row>
    <row r="40" spans="1:5">
      <c r="C40" s="137"/>
      <c r="E40" s="134"/>
    </row>
    <row r="41" spans="1:5">
      <c r="C41" s="137"/>
      <c r="E41" s="134"/>
    </row>
    <row r="42" spans="1:5">
      <c r="C42" s="137"/>
      <c r="E42" s="134"/>
    </row>
    <row r="43" spans="1:5">
      <c r="C43" s="137"/>
      <c r="E43" s="134"/>
    </row>
    <row r="44" spans="1:5">
      <c r="C44" s="137"/>
      <c r="E44" s="134"/>
    </row>
    <row r="45" spans="1:5">
      <c r="C45" s="137"/>
      <c r="E45" s="134"/>
    </row>
    <row r="46" spans="1:5">
      <c r="C46" s="137"/>
      <c r="E46" s="134"/>
    </row>
    <row r="47" spans="1:5">
      <c r="C47" s="137"/>
      <c r="E47" s="134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170"/>
  <sheetViews>
    <sheetView zoomScale="80" zoomScaleNormal="80" workbookViewId="0">
      <selection activeCell="D24" sqref="D24:J31"/>
    </sheetView>
  </sheetViews>
  <sheetFormatPr defaultColWidth="9.140625" defaultRowHeight="15.75"/>
  <cols>
    <col min="1" max="1" width="5.140625" style="119" customWidth="1"/>
    <col min="2" max="2" width="11.140625" style="119" customWidth="1"/>
    <col min="3" max="3" width="32.42578125" style="136" customWidth="1"/>
    <col min="4" max="10" width="18.5703125" style="189" customWidth="1"/>
    <col min="11" max="11" width="18.5703125" style="136" customWidth="1"/>
    <col min="12" max="12" width="24" style="136" customWidth="1"/>
    <col min="13" max="13" width="5.140625" style="119" customWidth="1"/>
    <col min="14" max="14" width="11.5703125" style="136" bestFit="1" customWidth="1"/>
    <col min="15" max="15" width="13.140625" style="136" customWidth="1"/>
    <col min="16" max="16384" width="9.140625" style="136"/>
  </cols>
  <sheetData>
    <row r="1" spans="1:13">
      <c r="C1" s="119"/>
    </row>
    <row r="2" spans="1:13" s="110" customFormat="1">
      <c r="A2" s="109"/>
      <c r="B2" s="1287" t="s">
        <v>0</v>
      </c>
      <c r="C2" s="1287"/>
      <c r="D2" s="1287"/>
      <c r="E2" s="1287"/>
      <c r="F2" s="1287"/>
      <c r="G2" s="1287"/>
      <c r="H2" s="1287"/>
      <c r="I2" s="1287"/>
      <c r="J2" s="1287"/>
      <c r="K2" s="1287"/>
      <c r="L2" s="1287"/>
      <c r="M2" s="109"/>
    </row>
    <row r="3" spans="1:13" s="110" customFormat="1">
      <c r="A3" s="109"/>
      <c r="B3" s="1287" t="s">
        <v>246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09"/>
    </row>
    <row r="4" spans="1:13">
      <c r="B4" s="1287" t="s">
        <v>247</v>
      </c>
      <c r="C4" s="1287"/>
      <c r="D4" s="1287"/>
      <c r="E4" s="1287"/>
      <c r="F4" s="1287"/>
      <c r="G4" s="1287"/>
      <c r="H4" s="1287"/>
      <c r="I4" s="1287"/>
      <c r="J4" s="1287"/>
      <c r="K4" s="1287"/>
      <c r="L4" s="1287"/>
    </row>
    <row r="5" spans="1:13">
      <c r="B5" s="1291" t="str">
        <f>"BALANCES AS OF 12/31/"&amp;Automation!$B$3-1</f>
        <v>BALANCES AS OF 12/31/2023</v>
      </c>
      <c r="C5" s="1291"/>
      <c r="D5" s="1291"/>
      <c r="E5" s="1291"/>
      <c r="F5" s="1291"/>
      <c r="G5" s="1291"/>
      <c r="H5" s="1291"/>
      <c r="I5" s="1291"/>
      <c r="J5" s="1291"/>
      <c r="K5" s="1291"/>
      <c r="L5" s="1291"/>
    </row>
    <row r="6" spans="1:13">
      <c r="B6" s="1291" t="s">
        <v>3</v>
      </c>
      <c r="C6" s="1287"/>
      <c r="D6" s="1287"/>
      <c r="E6" s="1287"/>
      <c r="F6" s="1287"/>
      <c r="G6" s="1287"/>
      <c r="H6" s="1287"/>
      <c r="I6" s="1287"/>
      <c r="J6" s="1287"/>
      <c r="K6" s="1287"/>
      <c r="L6" s="1287"/>
    </row>
    <row r="7" spans="1:13">
      <c r="C7" s="111"/>
      <c r="D7" s="112"/>
      <c r="E7" s="165"/>
      <c r="F7" s="165"/>
      <c r="G7" s="165"/>
      <c r="H7" s="165"/>
      <c r="I7" s="165"/>
      <c r="J7" s="165"/>
    </row>
    <row r="8" spans="1:13" s="109" customFormat="1">
      <c r="B8" s="859"/>
      <c r="C8" s="955"/>
      <c r="D8" s="956" t="s">
        <v>248</v>
      </c>
      <c r="E8" s="957" t="s">
        <v>249</v>
      </c>
      <c r="F8" s="957" t="s">
        <v>250</v>
      </c>
      <c r="G8" s="957" t="s">
        <v>251</v>
      </c>
      <c r="H8" s="957" t="s">
        <v>252</v>
      </c>
      <c r="I8" s="957" t="s">
        <v>253</v>
      </c>
      <c r="J8" s="957" t="s">
        <v>254</v>
      </c>
      <c r="K8" s="957" t="s">
        <v>255</v>
      </c>
      <c r="L8" s="859"/>
      <c r="M8" s="109" t="s">
        <v>185</v>
      </c>
    </row>
    <row r="9" spans="1:13">
      <c r="B9" s="166"/>
      <c r="C9" s="118"/>
      <c r="D9" s="167"/>
      <c r="E9" s="168"/>
      <c r="F9" s="168"/>
      <c r="G9" s="168"/>
      <c r="H9" s="168"/>
      <c r="I9" s="168"/>
      <c r="J9" s="168"/>
      <c r="K9" s="169" t="s">
        <v>80</v>
      </c>
      <c r="L9" s="166"/>
      <c r="M9" s="119" t="s">
        <v>185</v>
      </c>
    </row>
    <row r="10" spans="1:13">
      <c r="B10" s="170"/>
      <c r="C10" s="133"/>
      <c r="D10" s="167"/>
      <c r="E10" s="168" t="s">
        <v>256</v>
      </c>
      <c r="F10" s="168" t="s">
        <v>236</v>
      </c>
      <c r="G10" s="168" t="s">
        <v>240</v>
      </c>
      <c r="H10" s="168" t="s">
        <v>240</v>
      </c>
      <c r="I10" s="168" t="s">
        <v>240</v>
      </c>
      <c r="J10" s="168" t="s">
        <v>240</v>
      </c>
      <c r="K10" s="168" t="s">
        <v>240</v>
      </c>
      <c r="L10" s="158"/>
      <c r="M10" s="119" t="s">
        <v>185</v>
      </c>
    </row>
    <row r="11" spans="1:13">
      <c r="B11" s="171"/>
      <c r="C11" s="130"/>
      <c r="D11" s="172" t="s">
        <v>80</v>
      </c>
      <c r="E11" s="168" t="s">
        <v>257</v>
      </c>
      <c r="F11" s="168" t="s">
        <v>257</v>
      </c>
      <c r="G11" s="168" t="s">
        <v>257</v>
      </c>
      <c r="H11" s="168" t="s">
        <v>257</v>
      </c>
      <c r="I11" s="168" t="s">
        <v>257</v>
      </c>
      <c r="J11" s="168" t="s">
        <v>257</v>
      </c>
      <c r="K11" s="168" t="s">
        <v>237</v>
      </c>
      <c r="L11" s="116"/>
    </row>
    <row r="12" spans="1:13">
      <c r="A12" s="119" t="s">
        <v>4</v>
      </c>
      <c r="B12" s="171"/>
      <c r="C12" s="116"/>
      <c r="D12" s="172" t="s">
        <v>240</v>
      </c>
      <c r="E12" s="168" t="s">
        <v>258</v>
      </c>
      <c r="F12" s="173" t="s">
        <v>258</v>
      </c>
      <c r="G12" s="168" t="s">
        <v>258</v>
      </c>
      <c r="H12" s="168" t="s">
        <v>258</v>
      </c>
      <c r="I12" s="168" t="s">
        <v>258</v>
      </c>
      <c r="J12" s="168" t="s">
        <v>258</v>
      </c>
      <c r="K12" s="168" t="s">
        <v>259</v>
      </c>
      <c r="L12" s="116"/>
      <c r="M12" s="119" t="s">
        <v>4</v>
      </c>
    </row>
    <row r="13" spans="1:13">
      <c r="A13" s="119" t="s">
        <v>5</v>
      </c>
      <c r="B13" s="1012" t="s">
        <v>260</v>
      </c>
      <c r="C13" s="1012" t="s">
        <v>261</v>
      </c>
      <c r="D13" s="1126" t="s">
        <v>257</v>
      </c>
      <c r="E13" s="1127" t="s">
        <v>262</v>
      </c>
      <c r="F13" s="1127" t="s">
        <v>263</v>
      </c>
      <c r="G13" s="1127" t="s">
        <v>264</v>
      </c>
      <c r="H13" s="1127" t="s">
        <v>265</v>
      </c>
      <c r="I13" s="1127" t="s">
        <v>230</v>
      </c>
      <c r="J13" s="1128" t="s">
        <v>266</v>
      </c>
      <c r="K13" s="1012" t="s">
        <v>267</v>
      </c>
      <c r="L13" s="1012" t="s">
        <v>8</v>
      </c>
      <c r="M13" s="119" t="s">
        <v>5</v>
      </c>
    </row>
    <row r="14" spans="1:13">
      <c r="B14" s="158"/>
      <c r="C14" s="133" t="s">
        <v>268</v>
      </c>
      <c r="D14" s="133"/>
      <c r="E14" s="133"/>
      <c r="F14" s="133"/>
      <c r="G14" s="133"/>
      <c r="H14" s="133"/>
      <c r="I14" s="133"/>
      <c r="J14" s="133"/>
      <c r="K14" s="174"/>
      <c r="L14" s="158"/>
    </row>
    <row r="15" spans="1:13">
      <c r="A15" s="119">
        <v>1</v>
      </c>
      <c r="B15" s="190">
        <v>303</v>
      </c>
      <c r="C15" s="62" t="s">
        <v>269</v>
      </c>
      <c r="D15" s="176">
        <v>0</v>
      </c>
      <c r="E15" s="176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41">
        <f>SUM(D15:J15)</f>
        <v>0</v>
      </c>
      <c r="L15" s="158" t="s">
        <v>215</v>
      </c>
      <c r="M15" s="119">
        <f>A15</f>
        <v>1</v>
      </c>
    </row>
    <row r="16" spans="1:13">
      <c r="A16" s="119">
        <f>A15+1</f>
        <v>2</v>
      </c>
      <c r="B16" s="191">
        <v>310.10000000000002</v>
      </c>
      <c r="C16" s="62" t="s">
        <v>270</v>
      </c>
      <c r="D16" s="178">
        <v>0</v>
      </c>
      <c r="E16" s="178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0</v>
      </c>
      <c r="K16" s="142">
        <f>SUM(D16:J16)</f>
        <v>0</v>
      </c>
      <c r="L16" s="158" t="s">
        <v>215</v>
      </c>
      <c r="M16" s="119">
        <f>M15+1</f>
        <v>2</v>
      </c>
    </row>
    <row r="17" spans="1:13">
      <c r="A17" s="119">
        <f t="shared" ref="A17:A35" si="0">A16+1</f>
        <v>3</v>
      </c>
      <c r="B17" s="190">
        <v>340</v>
      </c>
      <c r="C17" s="192" t="s">
        <v>271</v>
      </c>
      <c r="D17" s="178">
        <v>0</v>
      </c>
      <c r="E17" s="178">
        <v>4.554831472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80">
        <f>SUM(D17:J17)</f>
        <v>4.554831472</v>
      </c>
      <c r="L17" s="158" t="s">
        <v>215</v>
      </c>
      <c r="M17" s="119">
        <f t="shared" ref="M17:M35" si="1">M16+1</f>
        <v>3</v>
      </c>
    </row>
    <row r="18" spans="1:13">
      <c r="A18" s="119">
        <f t="shared" si="0"/>
        <v>4</v>
      </c>
      <c r="B18" s="190">
        <v>360</v>
      </c>
      <c r="C18" s="192" t="s">
        <v>271</v>
      </c>
      <c r="D18" s="178">
        <v>0</v>
      </c>
      <c r="E18" s="178">
        <v>0</v>
      </c>
      <c r="F18" s="179">
        <v>3626.3653099999983</v>
      </c>
      <c r="G18" s="179">
        <v>0</v>
      </c>
      <c r="H18" s="179">
        <v>0</v>
      </c>
      <c r="I18" s="179">
        <v>0</v>
      </c>
      <c r="J18" s="179">
        <v>0</v>
      </c>
      <c r="K18" s="180">
        <f>SUM(D18:J18)</f>
        <v>3626.3653099999983</v>
      </c>
      <c r="L18" s="158" t="s">
        <v>215</v>
      </c>
      <c r="M18" s="119">
        <f t="shared" si="1"/>
        <v>4</v>
      </c>
    </row>
    <row r="19" spans="1:13">
      <c r="A19" s="119">
        <f t="shared" si="0"/>
        <v>5</v>
      </c>
      <c r="B19" s="190">
        <v>361</v>
      </c>
      <c r="C19" s="62" t="s">
        <v>272</v>
      </c>
      <c r="D19" s="178">
        <v>0</v>
      </c>
      <c r="E19" s="178">
        <v>0</v>
      </c>
      <c r="F19" s="179">
        <v>1496.2538400000008</v>
      </c>
      <c r="G19" s="179">
        <v>0</v>
      </c>
      <c r="H19" s="179">
        <v>0</v>
      </c>
      <c r="I19" s="179">
        <v>0</v>
      </c>
      <c r="J19" s="179">
        <v>0</v>
      </c>
      <c r="K19" s="180">
        <f>SUM(D19:J19)</f>
        <v>1496.2538400000008</v>
      </c>
      <c r="L19" s="158" t="s">
        <v>215</v>
      </c>
      <c r="M19" s="119">
        <f t="shared" si="1"/>
        <v>5</v>
      </c>
    </row>
    <row r="20" spans="1:13">
      <c r="A20" s="119">
        <f t="shared" si="0"/>
        <v>6</v>
      </c>
      <c r="B20" s="158"/>
      <c r="C20" s="133"/>
      <c r="D20" s="133"/>
      <c r="E20" s="133"/>
      <c r="F20" s="133"/>
      <c r="G20" s="133"/>
      <c r="H20" s="133"/>
      <c r="I20" s="133"/>
      <c r="J20" s="133"/>
      <c r="K20" s="174"/>
      <c r="L20" s="158"/>
      <c r="M20" s="119">
        <f t="shared" si="1"/>
        <v>6</v>
      </c>
    </row>
    <row r="21" spans="1:13" s="110" customFormat="1">
      <c r="A21" s="119">
        <f t="shared" si="0"/>
        <v>7</v>
      </c>
      <c r="B21" s="1178" t="s">
        <v>273</v>
      </c>
      <c r="C21" s="1179" t="s">
        <v>274</v>
      </c>
      <c r="D21" s="1180">
        <f>SUM(D15:D20)</f>
        <v>0</v>
      </c>
      <c r="E21" s="1180">
        <f t="shared" ref="E21:I21" si="2">SUM(E15:E20)</f>
        <v>4.554831472</v>
      </c>
      <c r="F21" s="1180">
        <f t="shared" si="2"/>
        <v>5122.6191499999986</v>
      </c>
      <c r="G21" s="1180">
        <f t="shared" si="2"/>
        <v>0</v>
      </c>
      <c r="H21" s="1180">
        <f t="shared" si="2"/>
        <v>0</v>
      </c>
      <c r="I21" s="1180">
        <f t="shared" si="2"/>
        <v>0</v>
      </c>
      <c r="J21" s="1180">
        <f>SUM(J15:J20)</f>
        <v>0</v>
      </c>
      <c r="K21" s="958">
        <f>SUM(K15:K20)</f>
        <v>5127.1739814719986</v>
      </c>
      <c r="L21" s="1181" t="str">
        <f>"Sum Lines "&amp;A15&amp;" thru "&amp;A19</f>
        <v>Sum Lines 1 thru 5</v>
      </c>
      <c r="M21" s="119">
        <f t="shared" si="1"/>
        <v>7</v>
      </c>
    </row>
    <row r="22" spans="1:13">
      <c r="A22" s="119">
        <f t="shared" si="0"/>
        <v>8</v>
      </c>
      <c r="B22" s="158"/>
      <c r="C22" s="133"/>
      <c r="D22" s="181"/>
      <c r="E22" s="182"/>
      <c r="F22" s="182"/>
      <c r="G22" s="182"/>
      <c r="H22" s="182"/>
      <c r="I22" s="182"/>
      <c r="J22" s="182"/>
      <c r="K22" s="174"/>
      <c r="L22" s="158"/>
      <c r="M22" s="119">
        <f t="shared" si="1"/>
        <v>8</v>
      </c>
    </row>
    <row r="23" spans="1:13">
      <c r="A23" s="119">
        <f t="shared" si="0"/>
        <v>9</v>
      </c>
      <c r="B23" s="190">
        <v>350</v>
      </c>
      <c r="C23" s="62" t="s">
        <v>271</v>
      </c>
      <c r="D23" s="184">
        <v>259692.10494000005</v>
      </c>
      <c r="E23" s="176">
        <v>0</v>
      </c>
      <c r="F23" s="177">
        <v>0</v>
      </c>
      <c r="G23" s="176">
        <v>0</v>
      </c>
      <c r="H23" s="176">
        <v>0</v>
      </c>
      <c r="I23" s="176">
        <v>0</v>
      </c>
      <c r="J23" s="176">
        <v>-13557.506586751999</v>
      </c>
      <c r="K23" s="185">
        <f t="shared" ref="K23:K31" si="3">SUM(D23:J23)</f>
        <v>246134.59835324806</v>
      </c>
      <c r="L23" s="158" t="s">
        <v>215</v>
      </c>
      <c r="M23" s="119">
        <f t="shared" si="1"/>
        <v>9</v>
      </c>
    </row>
    <row r="24" spans="1:13">
      <c r="A24" s="119">
        <f t="shared" si="0"/>
        <v>10</v>
      </c>
      <c r="B24" s="190">
        <v>352</v>
      </c>
      <c r="C24" s="62" t="s">
        <v>272</v>
      </c>
      <c r="D24" s="186">
        <v>884871.03006999998</v>
      </c>
      <c r="E24" s="179">
        <v>0</v>
      </c>
      <c r="F24" s="179">
        <v>0</v>
      </c>
      <c r="G24" s="181">
        <v>-1928.2778199999998</v>
      </c>
      <c r="H24" s="179">
        <v>0</v>
      </c>
      <c r="I24" s="179">
        <v>0</v>
      </c>
      <c r="J24" s="182">
        <v>-121441.14931999987</v>
      </c>
      <c r="K24" s="187">
        <f t="shared" si="3"/>
        <v>761501.60293000017</v>
      </c>
      <c r="L24" s="158" t="s">
        <v>215</v>
      </c>
      <c r="M24" s="119">
        <f t="shared" si="1"/>
        <v>10</v>
      </c>
    </row>
    <row r="25" spans="1:13">
      <c r="A25" s="119">
        <f t="shared" si="0"/>
        <v>11</v>
      </c>
      <c r="B25" s="190">
        <v>353</v>
      </c>
      <c r="C25" s="62" t="s">
        <v>275</v>
      </c>
      <c r="D25" s="186">
        <v>2378839.4029300078</v>
      </c>
      <c r="E25" s="179">
        <v>0</v>
      </c>
      <c r="F25" s="179">
        <v>0</v>
      </c>
      <c r="G25" s="181">
        <v>-12009.877779999999</v>
      </c>
      <c r="H25" s="179">
        <v>-1420.3928800000001</v>
      </c>
      <c r="I25" s="179">
        <v>0</v>
      </c>
      <c r="J25" s="182">
        <v>-2429.9854400000017</v>
      </c>
      <c r="K25" s="187">
        <f t="shared" si="3"/>
        <v>2362979.1468300074</v>
      </c>
      <c r="L25" s="158" t="s">
        <v>215</v>
      </c>
      <c r="M25" s="119">
        <f t="shared" si="1"/>
        <v>11</v>
      </c>
    </row>
    <row r="26" spans="1:13">
      <c r="A26" s="119">
        <f t="shared" si="0"/>
        <v>12</v>
      </c>
      <c r="B26" s="190">
        <v>354</v>
      </c>
      <c r="C26" s="62" t="s">
        <v>276</v>
      </c>
      <c r="D26" s="186">
        <v>939903.55375999701</v>
      </c>
      <c r="E26" s="179">
        <v>0</v>
      </c>
      <c r="F26" s="179">
        <v>0</v>
      </c>
      <c r="G26" s="181">
        <v>0</v>
      </c>
      <c r="H26" s="179">
        <v>0</v>
      </c>
      <c r="I26" s="179">
        <v>0</v>
      </c>
      <c r="J26" s="182">
        <v>0</v>
      </c>
      <c r="K26" s="187">
        <f t="shared" si="3"/>
        <v>939903.55375999701</v>
      </c>
      <c r="L26" s="158" t="s">
        <v>215</v>
      </c>
      <c r="M26" s="119">
        <f t="shared" si="1"/>
        <v>12</v>
      </c>
    </row>
    <row r="27" spans="1:13">
      <c r="A27" s="119">
        <f t="shared" si="0"/>
        <v>13</v>
      </c>
      <c r="B27" s="190">
        <v>355</v>
      </c>
      <c r="C27" s="62" t="s">
        <v>277</v>
      </c>
      <c r="D27" s="186">
        <v>1231461.317300003</v>
      </c>
      <c r="E27" s="179">
        <v>0</v>
      </c>
      <c r="F27" s="179">
        <v>0</v>
      </c>
      <c r="G27" s="181">
        <v>0</v>
      </c>
      <c r="H27" s="179">
        <v>0</v>
      </c>
      <c r="I27" s="179">
        <v>0</v>
      </c>
      <c r="J27" s="182">
        <v>0</v>
      </c>
      <c r="K27" s="187">
        <f t="shared" si="3"/>
        <v>1231461.317300003</v>
      </c>
      <c r="L27" s="158" t="s">
        <v>215</v>
      </c>
      <c r="M27" s="119">
        <f t="shared" si="1"/>
        <v>13</v>
      </c>
    </row>
    <row r="28" spans="1:13">
      <c r="A28" s="119">
        <f t="shared" si="0"/>
        <v>14</v>
      </c>
      <c r="B28" s="190">
        <v>356</v>
      </c>
      <c r="C28" s="62" t="s">
        <v>278</v>
      </c>
      <c r="D28" s="186">
        <v>1006112.7117600004</v>
      </c>
      <c r="E28" s="179">
        <v>0</v>
      </c>
      <c r="F28" s="179">
        <v>0</v>
      </c>
      <c r="G28" s="181">
        <v>0</v>
      </c>
      <c r="H28" s="179">
        <v>0</v>
      </c>
      <c r="I28" s="179">
        <v>0</v>
      </c>
      <c r="J28" s="182">
        <v>0</v>
      </c>
      <c r="K28" s="187">
        <f t="shared" si="3"/>
        <v>1006112.7117600004</v>
      </c>
      <c r="L28" s="158" t="s">
        <v>215</v>
      </c>
      <c r="M28" s="119">
        <f t="shared" si="1"/>
        <v>14</v>
      </c>
    </row>
    <row r="29" spans="1:13">
      <c r="A29" s="119">
        <f t="shared" si="0"/>
        <v>15</v>
      </c>
      <c r="B29" s="190">
        <v>357</v>
      </c>
      <c r="C29" s="62" t="s">
        <v>279</v>
      </c>
      <c r="D29" s="186">
        <v>670833.92142000003</v>
      </c>
      <c r="E29" s="179">
        <v>0</v>
      </c>
      <c r="F29" s="179">
        <v>0</v>
      </c>
      <c r="G29" s="181">
        <v>0</v>
      </c>
      <c r="H29" s="179">
        <v>0</v>
      </c>
      <c r="I29" s="179">
        <v>0</v>
      </c>
      <c r="J29" s="182">
        <v>0</v>
      </c>
      <c r="K29" s="187">
        <f t="shared" si="3"/>
        <v>670833.92142000003</v>
      </c>
      <c r="L29" s="158" t="s">
        <v>215</v>
      </c>
      <c r="M29" s="119">
        <f t="shared" si="1"/>
        <v>15</v>
      </c>
    </row>
    <row r="30" spans="1:13">
      <c r="A30" s="119">
        <f t="shared" si="0"/>
        <v>16</v>
      </c>
      <c r="B30" s="190">
        <v>358</v>
      </c>
      <c r="C30" s="62" t="s">
        <v>280</v>
      </c>
      <c r="D30" s="186">
        <v>634322.36363000027</v>
      </c>
      <c r="E30" s="179">
        <v>0</v>
      </c>
      <c r="F30" s="179">
        <v>0</v>
      </c>
      <c r="G30" s="181">
        <v>-1726.37997</v>
      </c>
      <c r="H30" s="179">
        <v>0</v>
      </c>
      <c r="I30" s="179">
        <v>0</v>
      </c>
      <c r="J30" s="182">
        <v>0</v>
      </c>
      <c r="K30" s="187">
        <f t="shared" si="3"/>
        <v>632595.98366000026</v>
      </c>
      <c r="L30" s="158" t="s">
        <v>215</v>
      </c>
      <c r="M30" s="119">
        <f t="shared" si="1"/>
        <v>16</v>
      </c>
    </row>
    <row r="31" spans="1:13">
      <c r="A31" s="119">
        <f t="shared" si="0"/>
        <v>17</v>
      </c>
      <c r="B31" s="190">
        <v>359</v>
      </c>
      <c r="C31" s="62" t="s">
        <v>281</v>
      </c>
      <c r="D31" s="186">
        <v>375749.64848999982</v>
      </c>
      <c r="E31" s="179">
        <v>0</v>
      </c>
      <c r="F31" s="179">
        <v>0</v>
      </c>
      <c r="G31" s="181">
        <v>0</v>
      </c>
      <c r="H31" s="179">
        <v>0</v>
      </c>
      <c r="I31" s="179">
        <v>0</v>
      </c>
      <c r="J31" s="182">
        <v>0</v>
      </c>
      <c r="K31" s="187">
        <f t="shared" si="3"/>
        <v>375749.64848999982</v>
      </c>
      <c r="L31" s="158" t="s">
        <v>215</v>
      </c>
      <c r="M31" s="119">
        <f t="shared" si="1"/>
        <v>17</v>
      </c>
    </row>
    <row r="32" spans="1:13">
      <c r="A32" s="119">
        <f t="shared" si="0"/>
        <v>18</v>
      </c>
      <c r="B32" s="175"/>
      <c r="C32" s="133"/>
      <c r="D32" s="181"/>
      <c r="F32" s="1030"/>
      <c r="G32" s="1030"/>
      <c r="H32" s="1030"/>
      <c r="I32" s="1030"/>
      <c r="J32" s="182"/>
      <c r="K32" s="1129"/>
      <c r="L32" s="175"/>
      <c r="M32" s="119">
        <f t="shared" si="1"/>
        <v>18</v>
      </c>
    </row>
    <row r="33" spans="1:13">
      <c r="A33" s="119">
        <f t="shared" si="0"/>
        <v>19</v>
      </c>
      <c r="B33" s="1182" t="s">
        <v>273</v>
      </c>
      <c r="C33" s="1179" t="s">
        <v>239</v>
      </c>
      <c r="D33" s="1180">
        <f>SUM(D23:D32)</f>
        <v>8381786.0543000074</v>
      </c>
      <c r="E33" s="1180">
        <f t="shared" ref="E33:I33" si="4">SUM(E23:E32)</f>
        <v>0</v>
      </c>
      <c r="F33" s="1180">
        <f t="shared" si="4"/>
        <v>0</v>
      </c>
      <c r="G33" s="1180">
        <f t="shared" si="4"/>
        <v>-15664.535569999998</v>
      </c>
      <c r="H33" s="1180">
        <f t="shared" si="4"/>
        <v>-1420.3928800000001</v>
      </c>
      <c r="I33" s="1180">
        <f t="shared" si="4"/>
        <v>0</v>
      </c>
      <c r="J33" s="1180">
        <f>SUM(J23:J32)</f>
        <v>-137428.64134675186</v>
      </c>
      <c r="K33" s="958">
        <f>SUM(K23:K32)</f>
        <v>8227272.4845032562</v>
      </c>
      <c r="L33" s="1183" t="str">
        <f>"Sum Lines "&amp;A23&amp;" thru "&amp;A31</f>
        <v>Sum Lines 9 thru 17</v>
      </c>
      <c r="M33" s="119">
        <f t="shared" si="1"/>
        <v>19</v>
      </c>
    </row>
    <row r="34" spans="1:13">
      <c r="A34" s="119">
        <f t="shared" si="0"/>
        <v>20</v>
      </c>
      <c r="B34" s="170"/>
      <c r="D34" s="136"/>
      <c r="J34" s="183"/>
      <c r="K34" s="188"/>
      <c r="L34" s="959"/>
      <c r="M34" s="119">
        <f t="shared" si="1"/>
        <v>20</v>
      </c>
    </row>
    <row r="35" spans="1:13">
      <c r="A35" s="119">
        <f t="shared" si="0"/>
        <v>21</v>
      </c>
      <c r="B35" s="1184" t="s">
        <v>282</v>
      </c>
      <c r="C35" s="960"/>
      <c r="D35" s="1185">
        <f>D33+D21</f>
        <v>8381786.0543000074</v>
      </c>
      <c r="E35" s="1185">
        <f t="shared" ref="E35:I35" si="5">E33+E21</f>
        <v>4.554831472</v>
      </c>
      <c r="F35" s="1185">
        <f t="shared" si="5"/>
        <v>5122.6191499999986</v>
      </c>
      <c r="G35" s="1185">
        <f>G33+G21</f>
        <v>-15664.535569999998</v>
      </c>
      <c r="H35" s="1185">
        <f>H33+H21</f>
        <v>-1420.3928800000001</v>
      </c>
      <c r="I35" s="1186">
        <f t="shared" si="5"/>
        <v>0</v>
      </c>
      <c r="J35" s="1185">
        <f>J33+J21</f>
        <v>-137428.64134675186</v>
      </c>
      <c r="K35" s="961">
        <f>K33+K21</f>
        <v>8232399.6584847281</v>
      </c>
      <c r="L35" s="1181" t="str">
        <f>"Line "&amp;A21&amp;" + Line "&amp;A33</f>
        <v>Line 7 + Line 19</v>
      </c>
      <c r="M35" s="119">
        <f t="shared" si="1"/>
        <v>21</v>
      </c>
    </row>
    <row r="36" spans="1:13">
      <c r="D36" s="136"/>
    </row>
    <row r="37" spans="1:13">
      <c r="D37" s="136"/>
    </row>
    <row r="38" spans="1:13">
      <c r="B38" s="17" t="s">
        <v>283</v>
      </c>
      <c r="D38" s="136"/>
    </row>
    <row r="39" spans="1:13">
      <c r="D39" s="136"/>
      <c r="K39" s="145"/>
      <c r="L39" s="145"/>
    </row>
    <row r="40" spans="1:13">
      <c r="D40" s="136"/>
    </row>
    <row r="41" spans="1:13">
      <c r="D41" s="136"/>
    </row>
    <row r="42" spans="1:13">
      <c r="D42" s="136"/>
    </row>
    <row r="43" spans="1:13">
      <c r="D43" s="136"/>
    </row>
    <row r="44" spans="1:13">
      <c r="D44" s="136"/>
    </row>
    <row r="45" spans="1:13">
      <c r="D45" s="136"/>
    </row>
    <row r="46" spans="1:13">
      <c r="D46" s="136"/>
    </row>
    <row r="47" spans="1:13">
      <c r="D47" s="136"/>
    </row>
    <row r="48" spans="1:13">
      <c r="D48" s="136"/>
    </row>
    <row r="49" spans="4:4">
      <c r="D49" s="136"/>
    </row>
    <row r="50" spans="4:4">
      <c r="D50" s="136"/>
    </row>
    <row r="51" spans="4:4">
      <c r="D51" s="136"/>
    </row>
    <row r="52" spans="4:4">
      <c r="D52" s="136"/>
    </row>
    <row r="53" spans="4:4">
      <c r="D53" s="136"/>
    </row>
    <row r="54" spans="4:4">
      <c r="D54" s="136"/>
    </row>
    <row r="55" spans="4:4">
      <c r="D55" s="136"/>
    </row>
    <row r="56" spans="4:4">
      <c r="D56" s="136"/>
    </row>
    <row r="57" spans="4:4">
      <c r="D57" s="136"/>
    </row>
    <row r="58" spans="4:4">
      <c r="D58" s="136"/>
    </row>
    <row r="59" spans="4:4">
      <c r="D59" s="136"/>
    </row>
    <row r="60" spans="4:4">
      <c r="D60" s="136"/>
    </row>
    <row r="61" spans="4:4">
      <c r="D61" s="136"/>
    </row>
    <row r="62" spans="4:4">
      <c r="D62" s="136"/>
    </row>
    <row r="63" spans="4:4">
      <c r="D63" s="136"/>
    </row>
    <row r="64" spans="4:4">
      <c r="D64" s="136"/>
    </row>
    <row r="65" spans="4:4">
      <c r="D65" s="136"/>
    </row>
    <row r="66" spans="4:4">
      <c r="D66" s="136"/>
    </row>
    <row r="67" spans="4:4">
      <c r="D67" s="136"/>
    </row>
    <row r="68" spans="4:4">
      <c r="D68" s="136"/>
    </row>
    <row r="69" spans="4:4">
      <c r="D69" s="136"/>
    </row>
    <row r="70" spans="4:4">
      <c r="D70" s="136"/>
    </row>
    <row r="71" spans="4:4">
      <c r="D71" s="136"/>
    </row>
    <row r="72" spans="4:4">
      <c r="D72" s="136"/>
    </row>
    <row r="73" spans="4:4">
      <c r="D73" s="136"/>
    </row>
    <row r="74" spans="4:4">
      <c r="D74" s="136"/>
    </row>
    <row r="75" spans="4:4">
      <c r="D75" s="136"/>
    </row>
    <row r="76" spans="4:4">
      <c r="D76" s="136"/>
    </row>
    <row r="77" spans="4:4">
      <c r="D77" s="136"/>
    </row>
    <row r="78" spans="4:4">
      <c r="D78" s="136"/>
    </row>
    <row r="79" spans="4:4">
      <c r="D79" s="136"/>
    </row>
    <row r="80" spans="4:4">
      <c r="D80" s="136"/>
    </row>
    <row r="81" spans="4:4">
      <c r="D81" s="136"/>
    </row>
    <row r="82" spans="4:4">
      <c r="D82" s="136"/>
    </row>
    <row r="83" spans="4:4">
      <c r="D83" s="136"/>
    </row>
    <row r="84" spans="4:4">
      <c r="D84" s="136"/>
    </row>
    <row r="85" spans="4:4">
      <c r="D85" s="136"/>
    </row>
    <row r="86" spans="4:4">
      <c r="D86" s="136"/>
    </row>
    <row r="87" spans="4:4">
      <c r="D87" s="136"/>
    </row>
    <row r="88" spans="4:4">
      <c r="D88" s="136"/>
    </row>
    <row r="89" spans="4:4">
      <c r="D89" s="136"/>
    </row>
    <row r="90" spans="4:4">
      <c r="D90" s="136"/>
    </row>
    <row r="91" spans="4:4">
      <c r="D91" s="136"/>
    </row>
    <row r="92" spans="4:4">
      <c r="D92" s="136"/>
    </row>
    <row r="93" spans="4:4">
      <c r="D93" s="136"/>
    </row>
    <row r="94" spans="4:4">
      <c r="D94" s="136"/>
    </row>
    <row r="95" spans="4:4">
      <c r="D95" s="136"/>
    </row>
    <row r="96" spans="4:4">
      <c r="D96" s="136"/>
    </row>
    <row r="97" spans="4:4">
      <c r="D97" s="136"/>
    </row>
    <row r="98" spans="4:4">
      <c r="D98" s="136"/>
    </row>
    <row r="99" spans="4:4">
      <c r="D99" s="136"/>
    </row>
    <row r="100" spans="4:4">
      <c r="D100" s="136"/>
    </row>
    <row r="101" spans="4:4">
      <c r="D101" s="136"/>
    </row>
    <row r="102" spans="4:4">
      <c r="D102" s="136"/>
    </row>
    <row r="103" spans="4:4">
      <c r="D103" s="136"/>
    </row>
    <row r="104" spans="4:4">
      <c r="D104" s="136"/>
    </row>
    <row r="105" spans="4:4">
      <c r="D105" s="136"/>
    </row>
    <row r="106" spans="4:4">
      <c r="D106" s="136"/>
    </row>
    <row r="107" spans="4:4">
      <c r="D107" s="136"/>
    </row>
    <row r="108" spans="4:4">
      <c r="D108" s="136"/>
    </row>
    <row r="109" spans="4:4">
      <c r="D109" s="136"/>
    </row>
    <row r="110" spans="4:4">
      <c r="D110" s="136"/>
    </row>
    <row r="111" spans="4:4">
      <c r="D111" s="136"/>
    </row>
    <row r="112" spans="4:4">
      <c r="D112" s="136"/>
    </row>
    <row r="113" spans="4:4">
      <c r="D113" s="136"/>
    </row>
    <row r="114" spans="4:4">
      <c r="D114" s="136"/>
    </row>
    <row r="115" spans="4:4">
      <c r="D115" s="136"/>
    </row>
    <row r="116" spans="4:4">
      <c r="D116" s="136"/>
    </row>
    <row r="117" spans="4:4">
      <c r="D117" s="136"/>
    </row>
    <row r="118" spans="4:4">
      <c r="D118" s="136"/>
    </row>
    <row r="119" spans="4:4">
      <c r="D119" s="136"/>
    </row>
    <row r="120" spans="4:4">
      <c r="D120" s="136"/>
    </row>
    <row r="121" spans="4:4">
      <c r="D121" s="136"/>
    </row>
    <row r="122" spans="4:4">
      <c r="D122" s="136"/>
    </row>
    <row r="123" spans="4:4">
      <c r="D123" s="136"/>
    </row>
    <row r="124" spans="4:4">
      <c r="D124" s="136"/>
    </row>
    <row r="125" spans="4:4">
      <c r="D125" s="136"/>
    </row>
    <row r="126" spans="4:4">
      <c r="D126" s="136"/>
    </row>
    <row r="127" spans="4:4">
      <c r="D127" s="136"/>
    </row>
    <row r="128" spans="4:4">
      <c r="D128" s="136"/>
    </row>
    <row r="129" spans="4:4">
      <c r="D129" s="136"/>
    </row>
    <row r="130" spans="4:4">
      <c r="D130" s="136"/>
    </row>
    <row r="131" spans="4:4">
      <c r="D131" s="136"/>
    </row>
    <row r="132" spans="4:4">
      <c r="D132" s="136"/>
    </row>
    <row r="133" spans="4:4">
      <c r="D133" s="136"/>
    </row>
    <row r="134" spans="4:4">
      <c r="D134" s="136"/>
    </row>
    <row r="135" spans="4:4">
      <c r="D135" s="136"/>
    </row>
    <row r="136" spans="4:4">
      <c r="D136" s="136"/>
    </row>
    <row r="137" spans="4:4">
      <c r="D137" s="136"/>
    </row>
    <row r="138" spans="4:4">
      <c r="D138" s="136"/>
    </row>
    <row r="139" spans="4:4">
      <c r="D139" s="136"/>
    </row>
    <row r="140" spans="4:4">
      <c r="D140" s="136"/>
    </row>
    <row r="141" spans="4:4">
      <c r="D141" s="136"/>
    </row>
    <row r="142" spans="4:4">
      <c r="D142" s="136"/>
    </row>
    <row r="143" spans="4:4">
      <c r="D143" s="136"/>
    </row>
    <row r="144" spans="4:4">
      <c r="D144" s="136"/>
    </row>
    <row r="145" spans="4:4">
      <c r="D145" s="136"/>
    </row>
    <row r="146" spans="4:4">
      <c r="D146" s="136"/>
    </row>
    <row r="147" spans="4:4">
      <c r="D147" s="136"/>
    </row>
    <row r="148" spans="4:4">
      <c r="D148" s="136"/>
    </row>
    <row r="149" spans="4:4">
      <c r="D149" s="136"/>
    </row>
    <row r="150" spans="4:4">
      <c r="D150" s="136"/>
    </row>
    <row r="151" spans="4:4">
      <c r="D151" s="136"/>
    </row>
    <row r="152" spans="4:4">
      <c r="D152" s="136"/>
    </row>
    <row r="153" spans="4:4">
      <c r="D153" s="136"/>
    </row>
    <row r="154" spans="4:4">
      <c r="D154" s="136"/>
    </row>
    <row r="155" spans="4:4">
      <c r="D155" s="136"/>
    </row>
    <row r="156" spans="4:4">
      <c r="D156" s="136"/>
    </row>
    <row r="157" spans="4:4">
      <c r="D157" s="136"/>
    </row>
    <row r="158" spans="4:4">
      <c r="D158" s="136"/>
    </row>
    <row r="159" spans="4:4">
      <c r="D159" s="136"/>
    </row>
    <row r="160" spans="4:4">
      <c r="D160" s="136"/>
    </row>
    <row r="161" spans="4:4">
      <c r="D161" s="136"/>
    </row>
    <row r="162" spans="4:4">
      <c r="D162" s="136"/>
    </row>
    <row r="163" spans="4:4">
      <c r="D163" s="136"/>
    </row>
    <row r="164" spans="4:4">
      <c r="D164" s="136"/>
    </row>
    <row r="165" spans="4:4">
      <c r="D165" s="136"/>
    </row>
    <row r="166" spans="4:4">
      <c r="D166" s="136"/>
    </row>
    <row r="167" spans="4:4">
      <c r="D167" s="136"/>
    </row>
    <row r="168" spans="4:4">
      <c r="D168" s="136"/>
    </row>
    <row r="169" spans="4:4">
      <c r="D169" s="136"/>
    </row>
    <row r="170" spans="4:4">
      <c r="D170" s="136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170"/>
  <sheetViews>
    <sheetView zoomScale="80" zoomScaleNormal="80" workbookViewId="0">
      <selection activeCell="J38" sqref="J38"/>
    </sheetView>
  </sheetViews>
  <sheetFormatPr defaultColWidth="9.140625" defaultRowHeight="15.75"/>
  <cols>
    <col min="1" max="1" width="5.140625" style="119" customWidth="1"/>
    <col min="2" max="2" width="11.140625" style="119" customWidth="1"/>
    <col min="3" max="3" width="32.42578125" style="136" customWidth="1"/>
    <col min="4" max="10" width="18.5703125" style="189" customWidth="1"/>
    <col min="11" max="11" width="18.5703125" style="136" customWidth="1"/>
    <col min="12" max="12" width="24" style="136" customWidth="1"/>
    <col min="13" max="13" width="5.140625" style="119" customWidth="1"/>
    <col min="14" max="14" width="11.5703125" style="136" bestFit="1" customWidth="1"/>
    <col min="15" max="15" width="13.140625" style="136" customWidth="1"/>
    <col min="16" max="16384" width="9.140625" style="136"/>
  </cols>
  <sheetData>
    <row r="1" spans="1:13">
      <c r="C1" s="119"/>
    </row>
    <row r="2" spans="1:13" s="110" customFormat="1">
      <c r="A2" s="109"/>
      <c r="B2" s="1287" t="s">
        <v>0</v>
      </c>
      <c r="C2" s="1287"/>
      <c r="D2" s="1287"/>
      <c r="E2" s="1287"/>
      <c r="F2" s="1287"/>
      <c r="G2" s="1287"/>
      <c r="H2" s="1287"/>
      <c r="I2" s="1287"/>
      <c r="J2" s="1287"/>
      <c r="K2" s="1287"/>
      <c r="L2" s="1287"/>
      <c r="M2" s="109"/>
    </row>
    <row r="3" spans="1:13" s="110" customFormat="1">
      <c r="A3" s="109"/>
      <c r="B3" s="1287" t="s">
        <v>246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09"/>
    </row>
    <row r="4" spans="1:13">
      <c r="B4" s="1287" t="s">
        <v>247</v>
      </c>
      <c r="C4" s="1287"/>
      <c r="D4" s="1287"/>
      <c r="E4" s="1287"/>
      <c r="F4" s="1287"/>
      <c r="G4" s="1287"/>
      <c r="H4" s="1287"/>
      <c r="I4" s="1287"/>
      <c r="J4" s="1287"/>
      <c r="K4" s="1287"/>
      <c r="L4" s="1287"/>
    </row>
    <row r="5" spans="1:13">
      <c r="B5" s="1291" t="str">
        <f>"BALANCES AS OF 12/31/"&amp;Automation!$B$3</f>
        <v>BALANCES AS OF 12/31/2024</v>
      </c>
      <c r="C5" s="1291"/>
      <c r="D5" s="1291"/>
      <c r="E5" s="1291"/>
      <c r="F5" s="1291"/>
      <c r="G5" s="1291"/>
      <c r="H5" s="1291"/>
      <c r="I5" s="1291"/>
      <c r="J5" s="1291"/>
      <c r="K5" s="1291"/>
      <c r="L5" s="1291"/>
    </row>
    <row r="6" spans="1:13">
      <c r="B6" s="1291" t="s">
        <v>3</v>
      </c>
      <c r="C6" s="1287"/>
      <c r="D6" s="1287"/>
      <c r="E6" s="1287"/>
      <c r="F6" s="1287"/>
      <c r="G6" s="1287"/>
      <c r="H6" s="1287"/>
      <c r="I6" s="1287"/>
      <c r="J6" s="1287"/>
      <c r="K6" s="1287"/>
      <c r="L6" s="1287"/>
    </row>
    <row r="7" spans="1:13">
      <c r="C7" s="111"/>
      <c r="D7" s="112"/>
      <c r="E7" s="165"/>
      <c r="F7" s="165"/>
      <c r="G7" s="165"/>
      <c r="H7" s="165"/>
      <c r="I7" s="165"/>
      <c r="J7" s="165"/>
    </row>
    <row r="8" spans="1:13" s="109" customFormat="1">
      <c r="B8" s="859"/>
      <c r="C8" s="955"/>
      <c r="D8" s="956" t="s">
        <v>248</v>
      </c>
      <c r="E8" s="957" t="s">
        <v>249</v>
      </c>
      <c r="F8" s="957" t="s">
        <v>250</v>
      </c>
      <c r="G8" s="957" t="s">
        <v>251</v>
      </c>
      <c r="H8" s="957" t="s">
        <v>252</v>
      </c>
      <c r="I8" s="957" t="s">
        <v>253</v>
      </c>
      <c r="J8" s="957" t="s">
        <v>254</v>
      </c>
      <c r="K8" s="957" t="s">
        <v>255</v>
      </c>
      <c r="L8" s="859"/>
      <c r="M8" s="109" t="s">
        <v>185</v>
      </c>
    </row>
    <row r="9" spans="1:13">
      <c r="B9" s="166"/>
      <c r="C9" s="118"/>
      <c r="D9" s="167"/>
      <c r="E9" s="168"/>
      <c r="F9" s="168"/>
      <c r="G9" s="168"/>
      <c r="H9" s="168"/>
      <c r="I9" s="168"/>
      <c r="J9" s="168"/>
      <c r="K9" s="169" t="s">
        <v>80</v>
      </c>
      <c r="L9" s="166"/>
      <c r="M9" s="119" t="s">
        <v>185</v>
      </c>
    </row>
    <row r="10" spans="1:13">
      <c r="B10" s="170"/>
      <c r="C10" s="133"/>
      <c r="D10" s="167"/>
      <c r="E10" s="168" t="s">
        <v>256</v>
      </c>
      <c r="F10" s="168" t="s">
        <v>236</v>
      </c>
      <c r="G10" s="168" t="s">
        <v>240</v>
      </c>
      <c r="H10" s="168" t="s">
        <v>240</v>
      </c>
      <c r="I10" s="168" t="s">
        <v>240</v>
      </c>
      <c r="J10" s="168" t="s">
        <v>240</v>
      </c>
      <c r="K10" s="168" t="s">
        <v>240</v>
      </c>
      <c r="L10" s="158"/>
      <c r="M10" s="119" t="s">
        <v>185</v>
      </c>
    </row>
    <row r="11" spans="1:13">
      <c r="B11" s="171"/>
      <c r="C11" s="130"/>
      <c r="D11" s="172" t="s">
        <v>80</v>
      </c>
      <c r="E11" s="168" t="s">
        <v>257</v>
      </c>
      <c r="F11" s="168" t="s">
        <v>257</v>
      </c>
      <c r="G11" s="168" t="s">
        <v>257</v>
      </c>
      <c r="H11" s="168" t="s">
        <v>257</v>
      </c>
      <c r="I11" s="168" t="s">
        <v>257</v>
      </c>
      <c r="J11" s="168" t="s">
        <v>257</v>
      </c>
      <c r="K11" s="168" t="s">
        <v>237</v>
      </c>
      <c r="L11" s="116"/>
    </row>
    <row r="12" spans="1:13">
      <c r="A12" s="119" t="s">
        <v>4</v>
      </c>
      <c r="B12" s="171"/>
      <c r="C12" s="116"/>
      <c r="D12" s="172" t="s">
        <v>240</v>
      </c>
      <c r="E12" s="168" t="s">
        <v>258</v>
      </c>
      <c r="F12" s="173" t="s">
        <v>258</v>
      </c>
      <c r="G12" s="168" t="s">
        <v>258</v>
      </c>
      <c r="H12" s="168" t="s">
        <v>258</v>
      </c>
      <c r="I12" s="168" t="s">
        <v>258</v>
      </c>
      <c r="J12" s="168" t="s">
        <v>258</v>
      </c>
      <c r="K12" s="168" t="s">
        <v>259</v>
      </c>
      <c r="L12" s="116"/>
      <c r="M12" s="119" t="s">
        <v>4</v>
      </c>
    </row>
    <row r="13" spans="1:13">
      <c r="A13" s="119" t="s">
        <v>5</v>
      </c>
      <c r="B13" s="1012" t="s">
        <v>260</v>
      </c>
      <c r="C13" s="1012" t="s">
        <v>261</v>
      </c>
      <c r="D13" s="1126" t="s">
        <v>257</v>
      </c>
      <c r="E13" s="1127" t="s">
        <v>262</v>
      </c>
      <c r="F13" s="1127" t="s">
        <v>263</v>
      </c>
      <c r="G13" s="1127" t="s">
        <v>264</v>
      </c>
      <c r="H13" s="1127" t="s">
        <v>265</v>
      </c>
      <c r="I13" s="1127" t="s">
        <v>230</v>
      </c>
      <c r="J13" s="1128" t="s">
        <v>266</v>
      </c>
      <c r="K13" s="1012" t="s">
        <v>267</v>
      </c>
      <c r="L13" s="1012" t="s">
        <v>8</v>
      </c>
      <c r="M13" s="119" t="s">
        <v>5</v>
      </c>
    </row>
    <row r="14" spans="1:13">
      <c r="B14" s="158"/>
      <c r="C14" s="133" t="s">
        <v>268</v>
      </c>
      <c r="D14" s="133"/>
      <c r="E14" s="133"/>
      <c r="F14" s="133"/>
      <c r="G14" s="133"/>
      <c r="H14" s="133"/>
      <c r="I14" s="133"/>
      <c r="J14" s="133"/>
      <c r="K14" s="174"/>
      <c r="L14" s="158"/>
    </row>
    <row r="15" spans="1:13">
      <c r="A15" s="119">
        <v>1</v>
      </c>
      <c r="B15" s="190">
        <v>303</v>
      </c>
      <c r="C15" s="62" t="s">
        <v>269</v>
      </c>
      <c r="D15" s="176">
        <v>0</v>
      </c>
      <c r="E15" s="176">
        <v>0</v>
      </c>
      <c r="F15" s="177">
        <v>0</v>
      </c>
      <c r="G15" s="177">
        <v>0</v>
      </c>
      <c r="H15" s="177">
        <v>0</v>
      </c>
      <c r="I15" s="177">
        <v>0</v>
      </c>
      <c r="J15" s="177">
        <v>0</v>
      </c>
      <c r="K15" s="141">
        <f>SUM(D15:J15)</f>
        <v>0</v>
      </c>
      <c r="L15" s="158" t="s">
        <v>215</v>
      </c>
      <c r="M15" s="119">
        <f>A15</f>
        <v>1</v>
      </c>
    </row>
    <row r="16" spans="1:13">
      <c r="A16" s="119">
        <f>A15+1</f>
        <v>2</v>
      </c>
      <c r="B16" s="191">
        <v>310.10000000000002</v>
      </c>
      <c r="C16" s="62" t="s">
        <v>270</v>
      </c>
      <c r="D16" s="178">
        <v>0</v>
      </c>
      <c r="E16" s="178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0</v>
      </c>
      <c r="K16" s="142">
        <f>SUM(D16:J16)</f>
        <v>0</v>
      </c>
      <c r="L16" s="158" t="s">
        <v>215</v>
      </c>
      <c r="M16" s="119">
        <f>M15+1</f>
        <v>2</v>
      </c>
    </row>
    <row r="17" spans="1:13">
      <c r="A17" s="119">
        <f t="shared" ref="A17:A35" si="0">A16+1</f>
        <v>3</v>
      </c>
      <c r="B17" s="190">
        <v>340</v>
      </c>
      <c r="C17" s="192" t="s">
        <v>271</v>
      </c>
      <c r="D17" s="178">
        <v>0</v>
      </c>
      <c r="E17" s="178">
        <v>4.5108853959999999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80">
        <f>SUM(D17:J17)</f>
        <v>4.5108853959999999</v>
      </c>
      <c r="L17" s="158" t="s">
        <v>215</v>
      </c>
      <c r="M17" s="119">
        <f t="shared" ref="M17:M35" si="1">M16+1</f>
        <v>3</v>
      </c>
    </row>
    <row r="18" spans="1:13">
      <c r="A18" s="119">
        <f t="shared" si="0"/>
        <v>4</v>
      </c>
      <c r="B18" s="190">
        <v>360</v>
      </c>
      <c r="C18" s="192" t="s">
        <v>271</v>
      </c>
      <c r="D18" s="178">
        <v>0</v>
      </c>
      <c r="E18" s="178">
        <v>0</v>
      </c>
      <c r="F18" s="179">
        <v>3615.5538399999973</v>
      </c>
      <c r="G18" s="179">
        <v>0</v>
      </c>
      <c r="H18" s="179">
        <v>0</v>
      </c>
      <c r="I18" s="179">
        <v>0</v>
      </c>
      <c r="J18" s="179">
        <v>0</v>
      </c>
      <c r="K18" s="180">
        <f>SUM(D18:J18)</f>
        <v>3615.5538399999973</v>
      </c>
      <c r="L18" s="158" t="s">
        <v>215</v>
      </c>
      <c r="M18" s="119">
        <f t="shared" si="1"/>
        <v>4</v>
      </c>
    </row>
    <row r="19" spans="1:13">
      <c r="A19" s="119">
        <f t="shared" si="0"/>
        <v>5</v>
      </c>
      <c r="B19" s="190">
        <v>361</v>
      </c>
      <c r="C19" s="62" t="s">
        <v>272</v>
      </c>
      <c r="D19" s="178">
        <v>0</v>
      </c>
      <c r="E19" s="178">
        <v>0</v>
      </c>
      <c r="F19" s="179">
        <v>1576.7471199999993</v>
      </c>
      <c r="G19" s="179">
        <v>0</v>
      </c>
      <c r="H19" s="179">
        <v>0</v>
      </c>
      <c r="I19" s="179">
        <v>0</v>
      </c>
      <c r="J19" s="179">
        <v>0</v>
      </c>
      <c r="K19" s="180">
        <f>SUM(D19:J19)</f>
        <v>1576.7471199999993</v>
      </c>
      <c r="L19" s="158" t="s">
        <v>215</v>
      </c>
      <c r="M19" s="119">
        <f t="shared" si="1"/>
        <v>5</v>
      </c>
    </row>
    <row r="20" spans="1:13">
      <c r="A20" s="119">
        <f t="shared" si="0"/>
        <v>6</v>
      </c>
      <c r="B20" s="158"/>
      <c r="C20" s="133"/>
      <c r="D20" s="133"/>
      <c r="E20" s="133"/>
      <c r="F20" s="133"/>
      <c r="G20" s="133"/>
      <c r="H20" s="133"/>
      <c r="I20" s="133"/>
      <c r="J20" s="133"/>
      <c r="K20" s="174"/>
      <c r="L20" s="158"/>
      <c r="M20" s="119">
        <f t="shared" si="1"/>
        <v>6</v>
      </c>
    </row>
    <row r="21" spans="1:13" s="110" customFormat="1">
      <c r="A21" s="119">
        <f t="shared" si="0"/>
        <v>7</v>
      </c>
      <c r="B21" s="1178" t="s">
        <v>273</v>
      </c>
      <c r="C21" s="1179" t="s">
        <v>274</v>
      </c>
      <c r="D21" s="1180">
        <f>SUM(D15:D20)</f>
        <v>0</v>
      </c>
      <c r="E21" s="1180">
        <f t="shared" ref="E21:I21" si="2">SUM(E15:E20)</f>
        <v>4.5108853959999999</v>
      </c>
      <c r="F21" s="1180">
        <f t="shared" si="2"/>
        <v>5192.3009599999968</v>
      </c>
      <c r="G21" s="1180">
        <f t="shared" si="2"/>
        <v>0</v>
      </c>
      <c r="H21" s="1180">
        <f t="shared" si="2"/>
        <v>0</v>
      </c>
      <c r="I21" s="1180">
        <f t="shared" si="2"/>
        <v>0</v>
      </c>
      <c r="J21" s="1180">
        <f>SUM(J15:J20)</f>
        <v>0</v>
      </c>
      <c r="K21" s="958">
        <f>SUM(K15:K20)</f>
        <v>5196.8118453959969</v>
      </c>
      <c r="L21" s="1181" t="str">
        <f>"Sum Lines "&amp;A15&amp;" thru "&amp;A19</f>
        <v>Sum Lines 1 thru 5</v>
      </c>
      <c r="M21" s="119">
        <f t="shared" si="1"/>
        <v>7</v>
      </c>
    </row>
    <row r="22" spans="1:13">
      <c r="A22" s="119">
        <f t="shared" si="0"/>
        <v>8</v>
      </c>
      <c r="B22" s="158"/>
      <c r="C22" s="133"/>
      <c r="D22" s="181"/>
      <c r="E22" s="182"/>
      <c r="F22" s="182"/>
      <c r="G22" s="182"/>
      <c r="H22" s="182"/>
      <c r="I22" s="182"/>
      <c r="J22" s="182"/>
      <c r="K22" s="174"/>
      <c r="L22" s="158"/>
      <c r="M22" s="119">
        <f t="shared" si="1"/>
        <v>8</v>
      </c>
    </row>
    <row r="23" spans="1:13">
      <c r="A23" s="119">
        <f t="shared" si="0"/>
        <v>9</v>
      </c>
      <c r="B23" s="190">
        <v>350</v>
      </c>
      <c r="C23" s="62" t="s">
        <v>271</v>
      </c>
      <c r="D23" s="184">
        <v>261803.53346000009</v>
      </c>
      <c r="E23" s="176">
        <v>0</v>
      </c>
      <c r="F23" s="177">
        <v>0</v>
      </c>
      <c r="G23" s="176">
        <v>0</v>
      </c>
      <c r="H23" s="176">
        <v>0</v>
      </c>
      <c r="I23" s="176">
        <v>0</v>
      </c>
      <c r="J23" s="176">
        <v>-13557.506586751999</v>
      </c>
      <c r="K23" s="185">
        <f t="shared" ref="K23:K31" si="3">SUM(D23:J23)</f>
        <v>248246.02687324811</v>
      </c>
      <c r="L23" s="158" t="s">
        <v>215</v>
      </c>
      <c r="M23" s="119">
        <f t="shared" si="1"/>
        <v>9</v>
      </c>
    </row>
    <row r="24" spans="1:13">
      <c r="A24" s="119">
        <f t="shared" si="0"/>
        <v>10</v>
      </c>
      <c r="B24" s="190">
        <v>352</v>
      </c>
      <c r="C24" s="62" t="s">
        <v>272</v>
      </c>
      <c r="D24" s="186">
        <v>987733.53282999911</v>
      </c>
      <c r="E24" s="179">
        <v>0</v>
      </c>
      <c r="F24" s="179">
        <v>0</v>
      </c>
      <c r="G24" s="181">
        <v>-1928.2778199999998</v>
      </c>
      <c r="H24" s="179">
        <v>0</v>
      </c>
      <c r="I24" s="179">
        <v>0</v>
      </c>
      <c r="J24" s="182">
        <v>-161599.73698249995</v>
      </c>
      <c r="K24" s="187">
        <f t="shared" si="3"/>
        <v>824205.5180274992</v>
      </c>
      <c r="L24" s="158" t="s">
        <v>215</v>
      </c>
      <c r="M24" s="119">
        <f t="shared" si="1"/>
        <v>10</v>
      </c>
    </row>
    <row r="25" spans="1:13">
      <c r="A25" s="119">
        <f t="shared" si="0"/>
        <v>11</v>
      </c>
      <c r="B25" s="190">
        <v>353</v>
      </c>
      <c r="C25" s="62" t="s">
        <v>275</v>
      </c>
      <c r="D25" s="186">
        <v>2426904.1365399952</v>
      </c>
      <c r="E25" s="179">
        <v>0</v>
      </c>
      <c r="F25" s="179">
        <v>0</v>
      </c>
      <c r="G25" s="181">
        <v>-12009.827289999999</v>
      </c>
      <c r="H25" s="179">
        <v>-1420.3928799999999</v>
      </c>
      <c r="I25" s="179">
        <v>0</v>
      </c>
      <c r="J25" s="182">
        <v>-2418.0558699999997</v>
      </c>
      <c r="K25" s="187">
        <f t="shared" si="3"/>
        <v>2411055.8604999953</v>
      </c>
      <c r="L25" s="158" t="s">
        <v>215</v>
      </c>
      <c r="M25" s="119">
        <f t="shared" si="1"/>
        <v>11</v>
      </c>
    </row>
    <row r="26" spans="1:13">
      <c r="A26" s="119">
        <f t="shared" si="0"/>
        <v>12</v>
      </c>
      <c r="B26" s="190">
        <v>354</v>
      </c>
      <c r="C26" s="62" t="s">
        <v>276</v>
      </c>
      <c r="D26" s="186">
        <v>927208.76253999688</v>
      </c>
      <c r="E26" s="179">
        <v>0</v>
      </c>
      <c r="F26" s="179">
        <v>0</v>
      </c>
      <c r="G26" s="181">
        <v>0</v>
      </c>
      <c r="H26" s="179">
        <v>0</v>
      </c>
      <c r="I26" s="179">
        <v>0</v>
      </c>
      <c r="J26" s="182">
        <v>0</v>
      </c>
      <c r="K26" s="187">
        <f t="shared" si="3"/>
        <v>927208.76253999688</v>
      </c>
      <c r="L26" s="158" t="s">
        <v>215</v>
      </c>
      <c r="M26" s="119">
        <f t="shared" si="1"/>
        <v>12</v>
      </c>
    </row>
    <row r="27" spans="1:13">
      <c r="A27" s="119">
        <f t="shared" si="0"/>
        <v>13</v>
      </c>
      <c r="B27" s="190">
        <v>355</v>
      </c>
      <c r="C27" s="62" t="s">
        <v>277</v>
      </c>
      <c r="D27" s="186">
        <v>1326957.9840700012</v>
      </c>
      <c r="E27" s="179">
        <v>0</v>
      </c>
      <c r="F27" s="179">
        <v>0</v>
      </c>
      <c r="G27" s="181">
        <v>0</v>
      </c>
      <c r="H27" s="179">
        <v>0</v>
      </c>
      <c r="I27" s="179">
        <v>0</v>
      </c>
      <c r="J27" s="182">
        <v>0</v>
      </c>
      <c r="K27" s="187">
        <f t="shared" si="3"/>
        <v>1326957.9840700012</v>
      </c>
      <c r="L27" s="158" t="s">
        <v>215</v>
      </c>
      <c r="M27" s="119">
        <f t="shared" si="1"/>
        <v>13</v>
      </c>
    </row>
    <row r="28" spans="1:13">
      <c r="A28" s="119">
        <f t="shared" si="0"/>
        <v>14</v>
      </c>
      <c r="B28" s="190">
        <v>356</v>
      </c>
      <c r="C28" s="62" t="s">
        <v>278</v>
      </c>
      <c r="D28" s="186">
        <v>1075095.3280299997</v>
      </c>
      <c r="E28" s="179">
        <v>0</v>
      </c>
      <c r="F28" s="179">
        <v>0</v>
      </c>
      <c r="G28" s="181">
        <v>0</v>
      </c>
      <c r="H28" s="179">
        <v>0</v>
      </c>
      <c r="I28" s="179">
        <v>0</v>
      </c>
      <c r="J28" s="182">
        <v>0</v>
      </c>
      <c r="K28" s="187">
        <f t="shared" si="3"/>
        <v>1075095.3280299997</v>
      </c>
      <c r="L28" s="158" t="s">
        <v>215</v>
      </c>
      <c r="M28" s="119">
        <f t="shared" si="1"/>
        <v>14</v>
      </c>
    </row>
    <row r="29" spans="1:13">
      <c r="A29" s="119">
        <f t="shared" si="0"/>
        <v>15</v>
      </c>
      <c r="B29" s="190">
        <v>357</v>
      </c>
      <c r="C29" s="62" t="s">
        <v>279</v>
      </c>
      <c r="D29" s="186">
        <v>676654.19986999989</v>
      </c>
      <c r="E29" s="179">
        <v>0</v>
      </c>
      <c r="F29" s="179">
        <v>0</v>
      </c>
      <c r="G29" s="181">
        <v>0</v>
      </c>
      <c r="H29" s="179">
        <v>0</v>
      </c>
      <c r="I29" s="179">
        <v>0</v>
      </c>
      <c r="J29" s="182">
        <v>0</v>
      </c>
      <c r="K29" s="187">
        <f t="shared" si="3"/>
        <v>676654.19986999989</v>
      </c>
      <c r="L29" s="158" t="s">
        <v>215</v>
      </c>
      <c r="M29" s="119">
        <f t="shared" si="1"/>
        <v>15</v>
      </c>
    </row>
    <row r="30" spans="1:13">
      <c r="A30" s="119">
        <f t="shared" si="0"/>
        <v>16</v>
      </c>
      <c r="B30" s="190">
        <v>358</v>
      </c>
      <c r="C30" s="62" t="s">
        <v>280</v>
      </c>
      <c r="D30" s="186">
        <v>663263.29245999991</v>
      </c>
      <c r="E30" s="179">
        <v>0</v>
      </c>
      <c r="F30" s="179">
        <v>0</v>
      </c>
      <c r="G30" s="181">
        <v>-1726.37997</v>
      </c>
      <c r="H30" s="179">
        <v>0</v>
      </c>
      <c r="I30" s="179">
        <v>0</v>
      </c>
      <c r="J30" s="182">
        <v>0</v>
      </c>
      <c r="K30" s="187">
        <f t="shared" si="3"/>
        <v>661536.9124899999</v>
      </c>
      <c r="L30" s="158" t="s">
        <v>215</v>
      </c>
      <c r="M30" s="119">
        <f t="shared" si="1"/>
        <v>16</v>
      </c>
    </row>
    <row r="31" spans="1:13">
      <c r="A31" s="119">
        <f t="shared" si="0"/>
        <v>17</v>
      </c>
      <c r="B31" s="190">
        <v>359</v>
      </c>
      <c r="C31" s="62" t="s">
        <v>281</v>
      </c>
      <c r="D31" s="186">
        <v>402374.67178999982</v>
      </c>
      <c r="E31" s="179">
        <v>0</v>
      </c>
      <c r="F31" s="179">
        <v>0</v>
      </c>
      <c r="G31" s="181">
        <v>0</v>
      </c>
      <c r="H31" s="179">
        <v>0</v>
      </c>
      <c r="I31" s="179">
        <v>0</v>
      </c>
      <c r="J31" s="182">
        <v>0</v>
      </c>
      <c r="K31" s="187">
        <f t="shared" si="3"/>
        <v>402374.67178999982</v>
      </c>
      <c r="L31" s="158" t="s">
        <v>215</v>
      </c>
      <c r="M31" s="119">
        <f t="shared" si="1"/>
        <v>17</v>
      </c>
    </row>
    <row r="32" spans="1:13">
      <c r="A32" s="119">
        <f t="shared" si="0"/>
        <v>18</v>
      </c>
      <c r="B32" s="175"/>
      <c r="C32" s="133"/>
      <c r="D32" s="181"/>
      <c r="F32" s="1030"/>
      <c r="G32" s="1030"/>
      <c r="H32" s="1030"/>
      <c r="I32" s="1030"/>
      <c r="J32" s="182"/>
      <c r="K32" s="1129"/>
      <c r="L32" s="175"/>
      <c r="M32" s="119">
        <f t="shared" si="1"/>
        <v>18</v>
      </c>
    </row>
    <row r="33" spans="1:13">
      <c r="A33" s="119">
        <f t="shared" si="0"/>
        <v>19</v>
      </c>
      <c r="B33" s="1182" t="s">
        <v>273</v>
      </c>
      <c r="C33" s="1179" t="s">
        <v>239</v>
      </c>
      <c r="D33" s="1180">
        <f>SUM(D23:D32)</f>
        <v>8747995.4415899906</v>
      </c>
      <c r="E33" s="1180">
        <f t="shared" ref="E33:I33" si="4">SUM(E23:E32)</f>
        <v>0</v>
      </c>
      <c r="F33" s="1180">
        <f t="shared" si="4"/>
        <v>0</v>
      </c>
      <c r="G33" s="1180">
        <f t="shared" si="4"/>
        <v>-15664.485079999999</v>
      </c>
      <c r="H33" s="1180">
        <f t="shared" si="4"/>
        <v>-1420.3928799999999</v>
      </c>
      <c r="I33" s="1180">
        <f t="shared" si="4"/>
        <v>0</v>
      </c>
      <c r="J33" s="1180">
        <f>SUM(J23:J32)</f>
        <v>-177575.29943925195</v>
      </c>
      <c r="K33" s="958">
        <f>SUM(K23:K32)</f>
        <v>8553335.264190739</v>
      </c>
      <c r="L33" s="1183" t="str">
        <f>"Sum Lines "&amp;A23&amp;" thru "&amp;A31</f>
        <v>Sum Lines 9 thru 17</v>
      </c>
      <c r="M33" s="119">
        <f t="shared" si="1"/>
        <v>19</v>
      </c>
    </row>
    <row r="34" spans="1:13">
      <c r="A34" s="119">
        <f t="shared" si="0"/>
        <v>20</v>
      </c>
      <c r="B34" s="170"/>
      <c r="D34" s="136"/>
      <c r="J34" s="183"/>
      <c r="K34" s="188"/>
      <c r="L34" s="959"/>
      <c r="M34" s="119">
        <f t="shared" si="1"/>
        <v>20</v>
      </c>
    </row>
    <row r="35" spans="1:13">
      <c r="A35" s="119">
        <f t="shared" si="0"/>
        <v>21</v>
      </c>
      <c r="B35" s="1184" t="s">
        <v>282</v>
      </c>
      <c r="C35" s="960"/>
      <c r="D35" s="1185">
        <f>D33+D21</f>
        <v>8747995.4415899906</v>
      </c>
      <c r="E35" s="1185">
        <f t="shared" ref="E35:I35" si="5">E33+E21</f>
        <v>4.5108853959999999</v>
      </c>
      <c r="F35" s="1185">
        <f t="shared" si="5"/>
        <v>5192.3009599999968</v>
      </c>
      <c r="G35" s="1185">
        <f>G33+G21</f>
        <v>-15664.485079999999</v>
      </c>
      <c r="H35" s="1185">
        <f>H33+H21</f>
        <v>-1420.3928799999999</v>
      </c>
      <c r="I35" s="1186">
        <f t="shared" si="5"/>
        <v>0</v>
      </c>
      <c r="J35" s="1185">
        <f>J33+J21</f>
        <v>-177575.29943925195</v>
      </c>
      <c r="K35" s="961">
        <f>K33+K21</f>
        <v>8558532.0760361347</v>
      </c>
      <c r="L35" s="1181" t="str">
        <f>"Line "&amp;A21&amp;" + Line "&amp;A33</f>
        <v>Line 7 + Line 19</v>
      </c>
      <c r="M35" s="119">
        <f t="shared" si="1"/>
        <v>21</v>
      </c>
    </row>
    <row r="36" spans="1:13">
      <c r="D36" s="136"/>
    </row>
    <row r="37" spans="1:13">
      <c r="D37" s="136"/>
    </row>
    <row r="38" spans="1:13">
      <c r="B38" s="17" t="s">
        <v>283</v>
      </c>
      <c r="D38" s="136"/>
    </row>
    <row r="39" spans="1:13">
      <c r="D39" s="136"/>
      <c r="K39" s="145"/>
      <c r="L39" s="145"/>
    </row>
    <row r="40" spans="1:13">
      <c r="D40" s="136"/>
    </row>
    <row r="41" spans="1:13">
      <c r="D41" s="136"/>
    </row>
    <row r="42" spans="1:13">
      <c r="D42" s="136"/>
    </row>
    <row r="43" spans="1:13">
      <c r="D43" s="136"/>
    </row>
    <row r="44" spans="1:13">
      <c r="D44" s="136"/>
    </row>
    <row r="45" spans="1:13">
      <c r="D45" s="136"/>
    </row>
    <row r="46" spans="1:13">
      <c r="D46" s="136"/>
    </row>
    <row r="47" spans="1:13">
      <c r="D47" s="136"/>
    </row>
    <row r="48" spans="1:13">
      <c r="D48" s="136"/>
    </row>
    <row r="49" spans="4:4">
      <c r="D49" s="136"/>
    </row>
    <row r="50" spans="4:4">
      <c r="D50" s="136"/>
    </row>
    <row r="51" spans="4:4">
      <c r="D51" s="136"/>
    </row>
    <row r="52" spans="4:4">
      <c r="D52" s="136"/>
    </row>
    <row r="53" spans="4:4">
      <c r="D53" s="136"/>
    </row>
    <row r="54" spans="4:4">
      <c r="D54" s="136"/>
    </row>
    <row r="55" spans="4:4">
      <c r="D55" s="136"/>
    </row>
    <row r="56" spans="4:4">
      <c r="D56" s="136"/>
    </row>
    <row r="57" spans="4:4">
      <c r="D57" s="136"/>
    </row>
    <row r="58" spans="4:4">
      <c r="D58" s="136"/>
    </row>
    <row r="59" spans="4:4">
      <c r="D59" s="136"/>
    </row>
    <row r="60" spans="4:4">
      <c r="D60" s="136"/>
    </row>
    <row r="61" spans="4:4">
      <c r="D61" s="136"/>
    </row>
    <row r="62" spans="4:4">
      <c r="D62" s="136"/>
    </row>
    <row r="63" spans="4:4">
      <c r="D63" s="136"/>
    </row>
    <row r="64" spans="4:4">
      <c r="D64" s="136"/>
    </row>
    <row r="65" spans="4:4">
      <c r="D65" s="136"/>
    </row>
    <row r="66" spans="4:4">
      <c r="D66" s="136"/>
    </row>
    <row r="67" spans="4:4">
      <c r="D67" s="136"/>
    </row>
    <row r="68" spans="4:4">
      <c r="D68" s="136"/>
    </row>
    <row r="69" spans="4:4">
      <c r="D69" s="136"/>
    </row>
    <row r="70" spans="4:4">
      <c r="D70" s="136"/>
    </row>
    <row r="71" spans="4:4">
      <c r="D71" s="136"/>
    </row>
    <row r="72" spans="4:4">
      <c r="D72" s="136"/>
    </row>
    <row r="73" spans="4:4">
      <c r="D73" s="136"/>
    </row>
    <row r="74" spans="4:4">
      <c r="D74" s="136"/>
    </row>
    <row r="75" spans="4:4">
      <c r="D75" s="136"/>
    </row>
    <row r="76" spans="4:4">
      <c r="D76" s="136"/>
    </row>
    <row r="77" spans="4:4">
      <c r="D77" s="136"/>
    </row>
    <row r="78" spans="4:4">
      <c r="D78" s="136"/>
    </row>
    <row r="79" spans="4:4">
      <c r="D79" s="136"/>
    </row>
    <row r="80" spans="4:4">
      <c r="D80" s="136"/>
    </row>
    <row r="81" spans="4:4">
      <c r="D81" s="136"/>
    </row>
    <row r="82" spans="4:4">
      <c r="D82" s="136"/>
    </row>
    <row r="83" spans="4:4">
      <c r="D83" s="136"/>
    </row>
    <row r="84" spans="4:4">
      <c r="D84" s="136"/>
    </row>
    <row r="85" spans="4:4">
      <c r="D85" s="136"/>
    </row>
    <row r="86" spans="4:4">
      <c r="D86" s="136"/>
    </row>
    <row r="87" spans="4:4">
      <c r="D87" s="136"/>
    </row>
    <row r="88" spans="4:4">
      <c r="D88" s="136"/>
    </row>
    <row r="89" spans="4:4">
      <c r="D89" s="136"/>
    </row>
    <row r="90" spans="4:4">
      <c r="D90" s="136"/>
    </row>
    <row r="91" spans="4:4">
      <c r="D91" s="136"/>
    </row>
    <row r="92" spans="4:4">
      <c r="D92" s="136"/>
    </row>
    <row r="93" spans="4:4">
      <c r="D93" s="136"/>
    </row>
    <row r="94" spans="4:4">
      <c r="D94" s="136"/>
    </row>
    <row r="95" spans="4:4">
      <c r="D95" s="136"/>
    </row>
    <row r="96" spans="4:4">
      <c r="D96" s="136"/>
    </row>
    <row r="97" spans="4:4">
      <c r="D97" s="136"/>
    </row>
    <row r="98" spans="4:4">
      <c r="D98" s="136"/>
    </row>
    <row r="99" spans="4:4">
      <c r="D99" s="136"/>
    </row>
    <row r="100" spans="4:4">
      <c r="D100" s="136"/>
    </row>
    <row r="101" spans="4:4">
      <c r="D101" s="136"/>
    </row>
    <row r="102" spans="4:4">
      <c r="D102" s="136"/>
    </row>
    <row r="103" spans="4:4">
      <c r="D103" s="136"/>
    </row>
    <row r="104" spans="4:4">
      <c r="D104" s="136"/>
    </row>
    <row r="105" spans="4:4">
      <c r="D105" s="136"/>
    </row>
    <row r="106" spans="4:4">
      <c r="D106" s="136"/>
    </row>
    <row r="107" spans="4:4">
      <c r="D107" s="136"/>
    </row>
    <row r="108" spans="4:4">
      <c r="D108" s="136"/>
    </row>
    <row r="109" spans="4:4">
      <c r="D109" s="136"/>
    </row>
    <row r="110" spans="4:4">
      <c r="D110" s="136"/>
    </row>
    <row r="111" spans="4:4">
      <c r="D111" s="136"/>
    </row>
    <row r="112" spans="4:4">
      <c r="D112" s="136"/>
    </row>
    <row r="113" spans="4:4">
      <c r="D113" s="136"/>
    </row>
    <row r="114" spans="4:4">
      <c r="D114" s="136"/>
    </row>
    <row r="115" spans="4:4">
      <c r="D115" s="136"/>
    </row>
    <row r="116" spans="4:4">
      <c r="D116" s="136"/>
    </row>
    <row r="117" spans="4:4">
      <c r="D117" s="136"/>
    </row>
    <row r="118" spans="4:4">
      <c r="D118" s="136"/>
    </row>
    <row r="119" spans="4:4">
      <c r="D119" s="136"/>
    </row>
    <row r="120" spans="4:4">
      <c r="D120" s="136"/>
    </row>
    <row r="121" spans="4:4">
      <c r="D121" s="136"/>
    </row>
    <row r="122" spans="4:4">
      <c r="D122" s="136"/>
    </row>
    <row r="123" spans="4:4">
      <c r="D123" s="136"/>
    </row>
    <row r="124" spans="4:4">
      <c r="D124" s="136"/>
    </row>
    <row r="125" spans="4:4">
      <c r="D125" s="136"/>
    </row>
    <row r="126" spans="4:4">
      <c r="D126" s="136"/>
    </row>
    <row r="127" spans="4:4">
      <c r="D127" s="136"/>
    </row>
    <row r="128" spans="4:4">
      <c r="D128" s="136"/>
    </row>
    <row r="129" spans="4:4">
      <c r="D129" s="136"/>
    </row>
    <row r="130" spans="4:4">
      <c r="D130" s="136"/>
    </row>
    <row r="131" spans="4:4">
      <c r="D131" s="136"/>
    </row>
    <row r="132" spans="4:4">
      <c r="D132" s="136"/>
    </row>
    <row r="133" spans="4:4">
      <c r="D133" s="136"/>
    </row>
    <row r="134" spans="4:4">
      <c r="D134" s="136"/>
    </row>
    <row r="135" spans="4:4">
      <c r="D135" s="136"/>
    </row>
    <row r="136" spans="4:4">
      <c r="D136" s="136"/>
    </row>
    <row r="137" spans="4:4">
      <c r="D137" s="136"/>
    </row>
    <row r="138" spans="4:4">
      <c r="D138" s="136"/>
    </row>
    <row r="139" spans="4:4">
      <c r="D139" s="136"/>
    </row>
    <row r="140" spans="4:4">
      <c r="D140" s="136"/>
    </row>
    <row r="141" spans="4:4">
      <c r="D141" s="136"/>
    </row>
    <row r="142" spans="4:4">
      <c r="D142" s="136"/>
    </row>
    <row r="143" spans="4:4">
      <c r="D143" s="136"/>
    </row>
    <row r="144" spans="4:4">
      <c r="D144" s="136"/>
    </row>
    <row r="145" spans="4:4">
      <c r="D145" s="136"/>
    </row>
    <row r="146" spans="4:4">
      <c r="D146" s="136"/>
    </row>
    <row r="147" spans="4:4">
      <c r="D147" s="136"/>
    </row>
    <row r="148" spans="4:4">
      <c r="D148" s="136"/>
    </row>
    <row r="149" spans="4:4">
      <c r="D149" s="136"/>
    </row>
    <row r="150" spans="4:4">
      <c r="D150" s="136"/>
    </row>
    <row r="151" spans="4:4">
      <c r="D151" s="136"/>
    </row>
    <row r="152" spans="4:4">
      <c r="D152" s="136"/>
    </row>
    <row r="153" spans="4:4">
      <c r="D153" s="136"/>
    </row>
    <row r="154" spans="4:4">
      <c r="D154" s="136"/>
    </row>
    <row r="155" spans="4:4">
      <c r="D155" s="136"/>
    </row>
    <row r="156" spans="4:4">
      <c r="D156" s="136"/>
    </row>
    <row r="157" spans="4:4">
      <c r="D157" s="136"/>
    </row>
    <row r="158" spans="4:4">
      <c r="D158" s="136"/>
    </row>
    <row r="159" spans="4:4">
      <c r="D159" s="136"/>
    </row>
    <row r="160" spans="4:4">
      <c r="D160" s="136"/>
    </row>
    <row r="161" spans="4:4">
      <c r="D161" s="136"/>
    </row>
    <row r="162" spans="4:4">
      <c r="D162" s="136"/>
    </row>
    <row r="163" spans="4:4">
      <c r="D163" s="136"/>
    </row>
    <row r="164" spans="4:4">
      <c r="D164" s="136"/>
    </row>
    <row r="165" spans="4:4">
      <c r="D165" s="136"/>
    </row>
    <row r="166" spans="4:4">
      <c r="D166" s="136"/>
    </row>
    <row r="167" spans="4:4">
      <c r="D167" s="136"/>
    </row>
    <row r="168" spans="4:4">
      <c r="D168" s="136"/>
    </row>
    <row r="169" spans="4:4">
      <c r="D169" s="136"/>
    </row>
    <row r="170" spans="4:4">
      <c r="D170" s="136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D00EF-A3F7-4DF2-9C4D-715F6E1A6551}">
  <sheetPr>
    <pageSetUpPr fitToPage="1"/>
  </sheetPr>
  <dimension ref="A2:H39"/>
  <sheetViews>
    <sheetView zoomScale="80" zoomScaleNormal="80" workbookViewId="0">
      <selection activeCell="E42" sqref="E42"/>
    </sheetView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14" customWidth="1"/>
    <col min="5" max="5" width="18.5703125" style="110" customWidth="1"/>
    <col min="6" max="6" width="58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42578125" style="110" customWidth="1"/>
    <col min="14" max="16384" width="9.140625" style="110"/>
  </cols>
  <sheetData>
    <row r="2" spans="1:8">
      <c r="B2" s="1287" t="s">
        <v>0</v>
      </c>
      <c r="C2" s="1287"/>
      <c r="D2" s="1287"/>
      <c r="E2" s="1287"/>
      <c r="F2" s="1287"/>
    </row>
    <row r="3" spans="1:8">
      <c r="B3" s="1287" t="s">
        <v>208</v>
      </c>
      <c r="C3" s="1287"/>
      <c r="D3" s="1287"/>
      <c r="E3" s="1287"/>
      <c r="F3" s="1287"/>
    </row>
    <row r="4" spans="1:8">
      <c r="B4" s="1287" t="s">
        <v>209</v>
      </c>
      <c r="C4" s="1287"/>
      <c r="D4" s="1287"/>
      <c r="E4" s="1287"/>
      <c r="F4" s="1287"/>
    </row>
    <row r="5" spans="1:8">
      <c r="B5" s="1287" t="str">
        <f>"BASE PERIOD / TRUE UP PERIOD - 12/31/"&amp;Automation!$B$3&amp;" PER BOOK"</f>
        <v>BASE PERIOD / TRUE UP PERIOD - 12/31/2024 PER BOOK</v>
      </c>
      <c r="C5" s="1287"/>
      <c r="D5" s="1287"/>
      <c r="E5" s="1287"/>
      <c r="F5" s="1287"/>
      <c r="H5" s="126"/>
    </row>
    <row r="6" spans="1:8">
      <c r="B6" s="1291" t="s">
        <v>3</v>
      </c>
      <c r="C6" s="1291"/>
      <c r="D6" s="1291"/>
      <c r="E6" s="1291"/>
      <c r="F6" s="1291"/>
    </row>
    <row r="7" spans="1:8">
      <c r="B7" s="111"/>
      <c r="C7" s="112"/>
      <c r="D7" s="112"/>
      <c r="E7" s="111"/>
      <c r="F7" s="111"/>
    </row>
    <row r="8" spans="1:8">
      <c r="B8" s="1287" t="s">
        <v>284</v>
      </c>
      <c r="C8" s="1292"/>
      <c r="D8" s="1292"/>
      <c r="E8" s="1292"/>
      <c r="F8" s="1292"/>
    </row>
    <row r="10" spans="1:8">
      <c r="B10" s="857"/>
      <c r="C10" s="858" t="s">
        <v>80</v>
      </c>
      <c r="D10" s="859"/>
      <c r="E10" s="858"/>
      <c r="F10" s="859"/>
    </row>
    <row r="11" spans="1:8">
      <c r="B11" s="116"/>
      <c r="C11" s="121" t="s">
        <v>285</v>
      </c>
      <c r="D11" s="116"/>
      <c r="E11" s="121" t="s">
        <v>285</v>
      </c>
      <c r="F11" s="116"/>
    </row>
    <row r="12" spans="1:8">
      <c r="A12" s="119"/>
      <c r="B12" s="120"/>
      <c r="C12" s="109" t="s">
        <v>240</v>
      </c>
      <c r="D12" s="116"/>
      <c r="E12" s="121" t="s">
        <v>286</v>
      </c>
      <c r="F12" s="116"/>
      <c r="G12" s="119"/>
    </row>
    <row r="13" spans="1:8">
      <c r="A13" s="119" t="s">
        <v>4</v>
      </c>
      <c r="B13" s="120"/>
      <c r="C13" s="109" t="s">
        <v>237</v>
      </c>
      <c r="D13" s="116"/>
      <c r="E13" s="121" t="s">
        <v>237</v>
      </c>
      <c r="F13" s="116"/>
      <c r="G13" s="119" t="s">
        <v>4</v>
      </c>
    </row>
    <row r="14" spans="1:8">
      <c r="A14" s="119" t="s">
        <v>5</v>
      </c>
      <c r="B14" s="1012" t="s">
        <v>123</v>
      </c>
      <c r="C14" s="1109" t="s">
        <v>213</v>
      </c>
      <c r="D14" s="1012" t="s">
        <v>8</v>
      </c>
      <c r="E14" s="1110" t="s">
        <v>287</v>
      </c>
      <c r="F14" s="1012" t="s">
        <v>8</v>
      </c>
      <c r="G14" s="119" t="s">
        <v>5</v>
      </c>
    </row>
    <row r="15" spans="1:8">
      <c r="A15" s="119">
        <v>1</v>
      </c>
      <c r="B15" s="122" t="str">
        <f>"Dec-"&amp;RIGHT(Automation!$B$3-1,2)</f>
        <v>Dec-23</v>
      </c>
      <c r="C15" s="141">
        <v>0</v>
      </c>
      <c r="D15" s="124" t="s">
        <v>215</v>
      </c>
      <c r="E15" s="860">
        <v>0</v>
      </c>
      <c r="F15" s="124" t="s">
        <v>215</v>
      </c>
      <c r="G15" s="119">
        <f>A15</f>
        <v>1</v>
      </c>
      <c r="H15" s="126"/>
    </row>
    <row r="16" spans="1:8">
      <c r="A16" s="119">
        <f>A15+1</f>
        <v>2</v>
      </c>
      <c r="B16" s="122" t="str">
        <f>"Jan-"&amp;RIGHT(Automation!$B$3,2)</f>
        <v>Jan-24</v>
      </c>
      <c r="C16" s="142">
        <v>0</v>
      </c>
      <c r="D16" s="128"/>
      <c r="E16" s="861">
        <v>0</v>
      </c>
      <c r="F16" s="128"/>
      <c r="G16" s="119">
        <f>G15+1</f>
        <v>2</v>
      </c>
      <c r="H16" s="126"/>
    </row>
    <row r="17" spans="1:8">
      <c r="A17" s="119">
        <f t="shared" ref="A17:A33" si="0">A16+1</f>
        <v>3</v>
      </c>
      <c r="B17" s="122" t="s">
        <v>216</v>
      </c>
      <c r="C17" s="142">
        <v>0</v>
      </c>
      <c r="D17" s="128"/>
      <c r="E17" s="861">
        <v>0</v>
      </c>
      <c r="F17" s="128"/>
      <c r="G17" s="119">
        <f t="shared" ref="G17:G33" si="1">G16+1</f>
        <v>3</v>
      </c>
      <c r="H17" s="140"/>
    </row>
    <row r="18" spans="1:8">
      <c r="A18" s="119">
        <f t="shared" si="0"/>
        <v>4</v>
      </c>
      <c r="B18" s="122" t="s">
        <v>217</v>
      </c>
      <c r="C18" s="142">
        <v>0</v>
      </c>
      <c r="D18" s="128"/>
      <c r="E18" s="861">
        <v>0</v>
      </c>
      <c r="F18" s="128"/>
      <c r="G18" s="119">
        <f t="shared" si="1"/>
        <v>4</v>
      </c>
      <c r="H18" s="140"/>
    </row>
    <row r="19" spans="1:8">
      <c r="A19" s="119">
        <f t="shared" si="0"/>
        <v>5</v>
      </c>
      <c r="B19" s="122" t="s">
        <v>218</v>
      </c>
      <c r="C19" s="142">
        <v>0</v>
      </c>
      <c r="D19" s="128"/>
      <c r="E19" s="861">
        <v>0</v>
      </c>
      <c r="F19" s="128"/>
      <c r="G19" s="119">
        <f t="shared" si="1"/>
        <v>5</v>
      </c>
      <c r="H19" s="140"/>
    </row>
    <row r="20" spans="1:8">
      <c r="A20" s="119">
        <f t="shared" si="0"/>
        <v>6</v>
      </c>
      <c r="B20" s="122" t="s">
        <v>160</v>
      </c>
      <c r="C20" s="142">
        <v>0</v>
      </c>
      <c r="D20" s="128"/>
      <c r="E20" s="861">
        <v>0</v>
      </c>
      <c r="F20" s="128"/>
      <c r="G20" s="119">
        <f t="shared" si="1"/>
        <v>6</v>
      </c>
      <c r="H20" s="140"/>
    </row>
    <row r="21" spans="1:8">
      <c r="A21" s="119">
        <f>A20+1</f>
        <v>7</v>
      </c>
      <c r="B21" s="122" t="s">
        <v>219</v>
      </c>
      <c r="C21" s="142">
        <v>0</v>
      </c>
      <c r="D21" s="128"/>
      <c r="E21" s="861">
        <v>0</v>
      </c>
      <c r="F21" s="128"/>
      <c r="G21" s="119">
        <f>G20+1</f>
        <v>7</v>
      </c>
      <c r="H21" s="140"/>
    </row>
    <row r="22" spans="1:8">
      <c r="A22" s="119">
        <f t="shared" si="0"/>
        <v>8</v>
      </c>
      <c r="B22" s="122" t="s">
        <v>220</v>
      </c>
      <c r="C22" s="142">
        <v>0</v>
      </c>
      <c r="D22" s="128"/>
      <c r="E22" s="861">
        <v>0</v>
      </c>
      <c r="F22" s="128"/>
      <c r="G22" s="119">
        <f t="shared" si="1"/>
        <v>8</v>
      </c>
      <c r="H22" s="140"/>
    </row>
    <row r="23" spans="1:8">
      <c r="A23" s="119">
        <f t="shared" si="0"/>
        <v>9</v>
      </c>
      <c r="B23" s="122" t="s">
        <v>221</v>
      </c>
      <c r="C23" s="142">
        <v>0</v>
      </c>
      <c r="D23" s="128"/>
      <c r="E23" s="861">
        <v>0</v>
      </c>
      <c r="F23" s="128"/>
      <c r="G23" s="119">
        <f t="shared" si="1"/>
        <v>9</v>
      </c>
      <c r="H23" s="140"/>
    </row>
    <row r="24" spans="1:8">
      <c r="A24" s="119">
        <f t="shared" si="0"/>
        <v>10</v>
      </c>
      <c r="B24" s="122" t="s">
        <v>222</v>
      </c>
      <c r="C24" s="142">
        <v>0</v>
      </c>
      <c r="D24" s="128"/>
      <c r="E24" s="861">
        <v>0</v>
      </c>
      <c r="F24" s="128"/>
      <c r="G24" s="119">
        <f t="shared" si="1"/>
        <v>10</v>
      </c>
      <c r="H24" s="140"/>
    </row>
    <row r="25" spans="1:8">
      <c r="A25" s="119">
        <f t="shared" si="0"/>
        <v>11</v>
      </c>
      <c r="B25" s="122" t="s">
        <v>223</v>
      </c>
      <c r="C25" s="142">
        <v>0</v>
      </c>
      <c r="D25" s="128"/>
      <c r="E25" s="861">
        <v>0</v>
      </c>
      <c r="F25" s="128"/>
      <c r="G25" s="119">
        <f t="shared" si="1"/>
        <v>11</v>
      </c>
      <c r="H25" s="140"/>
    </row>
    <row r="26" spans="1:8">
      <c r="A26" s="119">
        <f t="shared" si="0"/>
        <v>12</v>
      </c>
      <c r="B26" s="122" t="s">
        <v>224</v>
      </c>
      <c r="C26" s="142">
        <v>0</v>
      </c>
      <c r="D26" s="128"/>
      <c r="E26" s="861">
        <v>0</v>
      </c>
      <c r="F26" s="128"/>
      <c r="G26" s="119">
        <f t="shared" si="1"/>
        <v>12</v>
      </c>
      <c r="H26" s="140"/>
    </row>
    <row r="27" spans="1:8">
      <c r="A27" s="119">
        <f t="shared" si="0"/>
        <v>13</v>
      </c>
      <c r="B27" s="1029" t="str">
        <f>"Dec-"&amp;RIGHT(Automation!$B$3,2)</f>
        <v>Dec-24</v>
      </c>
      <c r="C27" s="1115">
        <v>0</v>
      </c>
      <c r="D27" s="1114" t="s">
        <v>215</v>
      </c>
      <c r="E27" s="1130">
        <v>0</v>
      </c>
      <c r="F27" s="1114" t="s">
        <v>215</v>
      </c>
      <c r="G27" s="119">
        <f t="shared" si="1"/>
        <v>13</v>
      </c>
      <c r="H27" s="126"/>
    </row>
    <row r="28" spans="1:8">
      <c r="A28" s="119">
        <f t="shared" si="0"/>
        <v>14</v>
      </c>
      <c r="B28" s="130"/>
      <c r="C28" s="862"/>
      <c r="D28" s="148"/>
      <c r="E28" s="143"/>
      <c r="F28" s="863"/>
      <c r="G28" s="119">
        <f t="shared" si="1"/>
        <v>14</v>
      </c>
      <c r="H28" s="140"/>
    </row>
    <row r="29" spans="1:8">
      <c r="A29" s="119">
        <f t="shared" si="0"/>
        <v>15</v>
      </c>
      <c r="B29" s="130" t="s">
        <v>225</v>
      </c>
      <c r="C29" s="144">
        <f>SUM(C15:C27)</f>
        <v>0</v>
      </c>
      <c r="D29" s="336" t="str">
        <f>"Sum Lines "&amp;A15&amp;" thru "&amp;A27</f>
        <v>Sum Lines 1 thru 13</v>
      </c>
      <c r="E29" s="144">
        <f>SUM(E15:E27)</f>
        <v>0</v>
      </c>
      <c r="F29" s="520" t="str">
        <f>"Sum Lines "&amp;A15&amp;" thru "&amp;A27</f>
        <v>Sum Lines 1 thru 13</v>
      </c>
      <c r="G29" s="119">
        <f t="shared" si="1"/>
        <v>15</v>
      </c>
      <c r="H29" s="140"/>
    </row>
    <row r="30" spans="1:8">
      <c r="A30" s="119">
        <f t="shared" si="0"/>
        <v>16</v>
      </c>
      <c r="B30" s="1013"/>
      <c r="C30" s="1116"/>
      <c r="D30" s="1117"/>
      <c r="E30" s="1116"/>
      <c r="F30" s="1131"/>
      <c r="G30" s="119">
        <f t="shared" si="1"/>
        <v>16</v>
      </c>
      <c r="H30" s="140"/>
    </row>
    <row r="31" spans="1:8">
      <c r="A31" s="119">
        <f t="shared" si="0"/>
        <v>17</v>
      </c>
      <c r="B31" s="130"/>
      <c r="C31" s="143"/>
      <c r="D31" s="149"/>
      <c r="E31" s="143"/>
      <c r="F31" s="864"/>
      <c r="G31" s="119">
        <f t="shared" si="1"/>
        <v>17</v>
      </c>
      <c r="H31" s="140"/>
    </row>
    <row r="32" spans="1:8">
      <c r="A32" s="119">
        <f t="shared" si="0"/>
        <v>18</v>
      </c>
      <c r="B32" s="130" t="s">
        <v>226</v>
      </c>
      <c r="C32" s="151">
        <f>C29/13</f>
        <v>0</v>
      </c>
      <c r="D32" s="336" t="str">
        <f>"Average of Lines "&amp;A15&amp;" thru "&amp;A27</f>
        <v>Average of Lines 1 thru 13</v>
      </c>
      <c r="E32" s="151">
        <f>E29/13</f>
        <v>0</v>
      </c>
      <c r="F32" s="520" t="str">
        <f>"Average of Lines "&amp;A15&amp;" thru "&amp;A27</f>
        <v>Average of Lines 1 thru 13</v>
      </c>
      <c r="G32" s="119">
        <f t="shared" si="1"/>
        <v>18</v>
      </c>
      <c r="H32" s="140"/>
    </row>
    <row r="33" spans="1:8">
      <c r="A33" s="119">
        <f t="shared" si="0"/>
        <v>19</v>
      </c>
      <c r="B33" s="1013"/>
      <c r="C33" s="1116"/>
      <c r="D33" s="1117"/>
      <c r="E33" s="1116"/>
      <c r="F33" s="1131"/>
      <c r="G33" s="119">
        <f t="shared" si="1"/>
        <v>19</v>
      </c>
      <c r="H33" s="140"/>
    </row>
    <row r="34" spans="1:8">
      <c r="B34" s="136"/>
      <c r="C34" s="145"/>
      <c r="D34" s="145"/>
      <c r="E34" s="145"/>
      <c r="F34" s="146"/>
      <c r="G34" s="865"/>
      <c r="H34" s="140"/>
    </row>
    <row r="35" spans="1:8">
      <c r="B35" s="161"/>
      <c r="C35" s="146"/>
      <c r="D35" s="146"/>
      <c r="E35" s="146"/>
      <c r="F35" s="146"/>
      <c r="G35" s="575"/>
      <c r="H35" s="140"/>
    </row>
    <row r="36" spans="1:8">
      <c r="B36" s="136"/>
      <c r="C36" s="146"/>
      <c r="D36" s="146"/>
      <c r="E36" s="146"/>
      <c r="F36" s="146"/>
      <c r="G36" s="575"/>
      <c r="H36" s="140"/>
    </row>
    <row r="37" spans="1:8">
      <c r="B37" s="136"/>
      <c r="C37" s="146"/>
      <c r="D37" s="146"/>
      <c r="E37" s="146"/>
      <c r="F37" s="146"/>
      <c r="G37" s="575"/>
      <c r="H37" s="140"/>
    </row>
    <row r="38" spans="1:8">
      <c r="B38" s="136"/>
      <c r="C38" s="146"/>
      <c r="D38" s="146"/>
      <c r="E38" s="146"/>
      <c r="F38" s="146"/>
      <c r="G38" s="575"/>
      <c r="H38" s="140"/>
    </row>
    <row r="39" spans="1:8">
      <c r="C39" s="147"/>
      <c r="D39" s="147"/>
      <c r="E39" s="140"/>
      <c r="F39" s="140"/>
      <c r="G39" s="575"/>
      <c r="H39" s="14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41"/>
  <sheetViews>
    <sheetView zoomScale="80" zoomScaleNormal="80" workbookViewId="0">
      <selection activeCell="D29" sqref="D29"/>
    </sheetView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0" customWidth="1"/>
    <col min="4" max="4" width="62.5703125" style="110" customWidth="1"/>
    <col min="5" max="5" width="5.140625" style="109" customWidth="1"/>
    <col min="6" max="6" width="11" style="110" customWidth="1"/>
    <col min="7" max="7" width="7.140625" style="110" customWidth="1"/>
    <col min="8" max="8" width="9.140625" style="110" customWidth="1"/>
    <col min="9" max="9" width="14" style="110" customWidth="1"/>
    <col min="10" max="10" width="13.42578125" style="110" customWidth="1"/>
    <col min="11" max="16384" width="9.140625" style="110"/>
  </cols>
  <sheetData>
    <row r="1" spans="1:6">
      <c r="A1" s="1262"/>
    </row>
    <row r="2" spans="1:6">
      <c r="B2" s="1287" t="s">
        <v>0</v>
      </c>
      <c r="C2" s="1287"/>
      <c r="D2" s="1287"/>
    </row>
    <row r="3" spans="1:6">
      <c r="B3" s="1287" t="s">
        <v>208</v>
      </c>
      <c r="C3" s="1287"/>
      <c r="D3" s="1287"/>
    </row>
    <row r="4" spans="1:6">
      <c r="B4" s="1287" t="s">
        <v>209</v>
      </c>
      <c r="C4" s="1287"/>
      <c r="D4" s="1287"/>
    </row>
    <row r="5" spans="1:6">
      <c r="B5" s="1287" t="str">
        <f>"BASE PERIOD / TRUE UP PERIOD - 12/31/"&amp;Automation!$B$3&amp;" PER BOOK"</f>
        <v>BASE PERIOD / TRUE UP PERIOD - 12/31/2024 PER BOOK</v>
      </c>
      <c r="C5" s="1287"/>
      <c r="D5" s="1287"/>
    </row>
    <row r="6" spans="1:6">
      <c r="B6" s="1291" t="s">
        <v>3</v>
      </c>
      <c r="C6" s="1291"/>
      <c r="D6" s="1291"/>
    </row>
    <row r="7" spans="1:6">
      <c r="B7" s="111"/>
      <c r="C7" s="111"/>
      <c r="D7" s="111"/>
    </row>
    <row r="8" spans="1:6">
      <c r="B8" s="1287" t="s">
        <v>288</v>
      </c>
      <c r="C8" s="1287"/>
      <c r="D8" s="1287"/>
    </row>
    <row r="10" spans="1:6">
      <c r="B10" s="528"/>
      <c r="C10" s="962" t="s">
        <v>289</v>
      </c>
      <c r="D10" s="963"/>
      <c r="E10" s="119"/>
    </row>
    <row r="11" spans="1:6">
      <c r="A11" s="119" t="s">
        <v>4</v>
      </c>
      <c r="B11" s="171"/>
      <c r="C11" s="116" t="s">
        <v>290</v>
      </c>
      <c r="D11" s="194"/>
      <c r="E11" s="119" t="s">
        <v>4</v>
      </c>
    </row>
    <row r="12" spans="1:6">
      <c r="A12" s="119" t="s">
        <v>5</v>
      </c>
      <c r="B12" s="1015" t="s">
        <v>123</v>
      </c>
      <c r="C12" s="1012" t="s">
        <v>175</v>
      </c>
      <c r="D12" s="1110" t="s">
        <v>8</v>
      </c>
      <c r="E12" s="119" t="s">
        <v>5</v>
      </c>
    </row>
    <row r="13" spans="1:6">
      <c r="A13" s="119"/>
      <c r="B13" s="195"/>
      <c r="C13" s="196"/>
      <c r="D13" s="197"/>
      <c r="E13" s="119"/>
    </row>
    <row r="14" spans="1:6">
      <c r="A14" s="119">
        <v>1</v>
      </c>
      <c r="B14" s="198" t="str">
        <f>"Dec-"&amp;RIGHT(Automation!$B$3-1,2)</f>
        <v>Dec-23</v>
      </c>
      <c r="C14" s="199">
        <v>125194.79648999999</v>
      </c>
      <c r="D14" s="1234" t="s">
        <v>924</v>
      </c>
      <c r="E14" s="119">
        <f>A14</f>
        <v>1</v>
      </c>
      <c r="F14" s="126"/>
    </row>
    <row r="15" spans="1:6">
      <c r="A15" s="119">
        <f>A14+1</f>
        <v>2</v>
      </c>
      <c r="B15" s="200"/>
      <c r="C15" s="160"/>
      <c r="D15" s="1235"/>
      <c r="E15" s="119">
        <f>E14+1</f>
        <v>2</v>
      </c>
    </row>
    <row r="16" spans="1:6">
      <c r="A16" s="119">
        <f t="shared" ref="A16:A20" si="0">A15+1</f>
        <v>3</v>
      </c>
      <c r="B16" s="198" t="str">
        <f>"Dec-"&amp;RIGHT(Automation!$B$3,2)</f>
        <v>Dec-24</v>
      </c>
      <c r="C16" s="181">
        <v>236259.08225000006</v>
      </c>
      <c r="D16" s="1234" t="s">
        <v>925</v>
      </c>
      <c r="E16" s="119">
        <f t="shared" ref="E16:E20" si="1">E15+1</f>
        <v>3</v>
      </c>
      <c r="F16" s="126"/>
    </row>
    <row r="17" spans="1:5">
      <c r="A17" s="119">
        <f t="shared" si="0"/>
        <v>4</v>
      </c>
      <c r="B17" s="201"/>
      <c r="C17" s="1122"/>
      <c r="D17" s="1132"/>
      <c r="E17" s="119">
        <f t="shared" si="1"/>
        <v>4</v>
      </c>
    </row>
    <row r="18" spans="1:5">
      <c r="A18" s="119">
        <f t="shared" si="0"/>
        <v>5</v>
      </c>
      <c r="B18" s="528"/>
      <c r="C18" s="196"/>
      <c r="D18" s="197"/>
      <c r="E18" s="119">
        <f t="shared" si="1"/>
        <v>5</v>
      </c>
    </row>
    <row r="19" spans="1:5">
      <c r="A19" s="119">
        <f t="shared" si="0"/>
        <v>6</v>
      </c>
      <c r="B19" s="201" t="s">
        <v>238</v>
      </c>
      <c r="C19" s="202">
        <f>(C14+C16)/2</f>
        <v>180726.93937000004</v>
      </c>
      <c r="D19" s="203" t="str">
        <f>"Average of Line "&amp;A14&amp;" and Line "&amp;A16</f>
        <v>Average of Line 1 and Line 3</v>
      </c>
      <c r="E19" s="119">
        <f t="shared" si="1"/>
        <v>6</v>
      </c>
    </row>
    <row r="20" spans="1:5">
      <c r="A20" s="119">
        <f t="shared" si="0"/>
        <v>7</v>
      </c>
      <c r="B20" s="1133"/>
      <c r="C20" s="1038"/>
      <c r="D20" s="1116"/>
      <c r="E20" s="119">
        <f t="shared" si="1"/>
        <v>7</v>
      </c>
    </row>
    <row r="21" spans="1:5">
      <c r="A21" s="119"/>
      <c r="B21" s="136"/>
      <c r="C21" s="204"/>
      <c r="D21" s="136"/>
      <c r="E21" s="119"/>
    </row>
    <row r="22" spans="1:5">
      <c r="B22" s="136"/>
      <c r="C22" s="136"/>
      <c r="D22" s="136"/>
      <c r="E22" s="119"/>
    </row>
    <row r="23" spans="1:5">
      <c r="B23" s="136"/>
      <c r="C23" s="136"/>
      <c r="D23" s="136"/>
    </row>
    <row r="24" spans="1:5">
      <c r="B24" s="136"/>
      <c r="C24" s="136"/>
      <c r="D24" s="136"/>
    </row>
    <row r="25" spans="1:5">
      <c r="B25" s="136"/>
      <c r="C25" s="136"/>
      <c r="D25" s="136"/>
    </row>
    <row r="26" spans="1:5">
      <c r="B26" s="136"/>
      <c r="C26" s="136"/>
      <c r="D26" s="136"/>
    </row>
    <row r="27" spans="1:5">
      <c r="B27" s="136"/>
      <c r="C27" s="136"/>
      <c r="D27" s="136"/>
    </row>
    <row r="28" spans="1:5">
      <c r="B28" s="136"/>
      <c r="C28" s="136"/>
      <c r="D28" s="136"/>
    </row>
    <row r="29" spans="1:5">
      <c r="B29" s="136"/>
      <c r="C29" s="136"/>
      <c r="D29" s="136"/>
    </row>
    <row r="30" spans="1:5">
      <c r="B30" s="136"/>
      <c r="C30" s="136"/>
      <c r="D30" s="136"/>
    </row>
    <row r="31" spans="1:5">
      <c r="B31" s="136"/>
      <c r="C31" s="136"/>
      <c r="D31" s="136"/>
    </row>
    <row r="32" spans="1:5">
      <c r="B32" s="136"/>
      <c r="C32" s="136"/>
      <c r="D32" s="136"/>
    </row>
    <row r="33" spans="1:5">
      <c r="B33" s="136"/>
      <c r="C33" s="136"/>
      <c r="D33" s="136"/>
    </row>
    <row r="34" spans="1:5">
      <c r="B34" s="136"/>
      <c r="C34" s="136"/>
      <c r="D34" s="136"/>
    </row>
    <row r="35" spans="1:5" s="136" customFormat="1">
      <c r="A35" s="119"/>
      <c r="E35" s="119"/>
    </row>
    <row r="36" spans="1:5" s="136" customFormat="1">
      <c r="A36" s="119"/>
      <c r="E36" s="119"/>
    </row>
    <row r="37" spans="1:5" s="136" customFormat="1">
      <c r="A37" s="119"/>
      <c r="E37" s="119"/>
    </row>
    <row r="38" spans="1:5" s="136" customFormat="1">
      <c r="A38" s="119"/>
      <c r="E38" s="119"/>
    </row>
    <row r="39" spans="1:5" s="136" customFormat="1">
      <c r="A39" s="119"/>
      <c r="E39" s="119"/>
    </row>
    <row r="40" spans="1:5" s="136" customFormat="1">
      <c r="A40" s="119"/>
      <c r="E40" s="119"/>
    </row>
    <row r="41" spans="1:5" s="136" customFormat="1">
      <c r="A41" s="119"/>
      <c r="E41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H40"/>
  <sheetViews>
    <sheetView zoomScale="80" zoomScaleNormal="80" workbookViewId="0">
      <selection activeCell="C14" sqref="C14:C16"/>
    </sheetView>
  </sheetViews>
  <sheetFormatPr defaultColWidth="9.140625" defaultRowHeight="15.75"/>
  <cols>
    <col min="1" max="1" width="4.5703125" style="109" bestFit="1" customWidth="1"/>
    <col min="2" max="2" width="57.5703125" style="110" customWidth="1"/>
    <col min="3" max="3" width="24.5703125" style="110" customWidth="1"/>
    <col min="4" max="4" width="55" style="110" customWidth="1"/>
    <col min="5" max="5" width="4.5703125" style="109" bestFit="1" customWidth="1"/>
    <col min="6" max="6" width="9.5703125" style="110" bestFit="1" customWidth="1"/>
    <col min="7" max="7" width="10.5703125" style="110" bestFit="1" customWidth="1"/>
    <col min="8" max="8" width="17.42578125" style="110" customWidth="1"/>
    <col min="9" max="9" width="14" style="110" customWidth="1"/>
    <col min="10" max="10" width="13.42578125" style="110" customWidth="1"/>
    <col min="11" max="16384" width="9.140625" style="110"/>
  </cols>
  <sheetData>
    <row r="2" spans="1:7">
      <c r="B2" s="1287" t="s">
        <v>0</v>
      </c>
      <c r="C2" s="1287"/>
      <c r="D2" s="1287"/>
    </row>
    <row r="3" spans="1:7">
      <c r="B3" s="1287" t="s">
        <v>208</v>
      </c>
      <c r="C3" s="1287"/>
      <c r="D3" s="1287"/>
    </row>
    <row r="4" spans="1:7">
      <c r="B4" s="1287" t="s">
        <v>209</v>
      </c>
      <c r="C4" s="1287"/>
      <c r="D4" s="1287"/>
    </row>
    <row r="5" spans="1:7">
      <c r="B5" s="1287" t="str">
        <f>"BASE PERIOD / TRUE UP PERIOD - 12/31/"&amp;Automation!$B$3&amp;" PER BOOK"</f>
        <v>BASE PERIOD / TRUE UP PERIOD - 12/31/2024 PER BOOK</v>
      </c>
      <c r="C5" s="1287"/>
      <c r="D5" s="1287"/>
    </row>
    <row r="6" spans="1:7">
      <c r="B6" s="1291" t="s">
        <v>3</v>
      </c>
      <c r="C6" s="1291"/>
      <c r="D6" s="1291"/>
    </row>
    <row r="7" spans="1:7">
      <c r="B7" s="111"/>
      <c r="C7" s="111"/>
      <c r="D7" s="111"/>
    </row>
    <row r="8" spans="1:7">
      <c r="B8" s="1287" t="s">
        <v>291</v>
      </c>
      <c r="C8" s="1287"/>
      <c r="D8" s="1287"/>
      <c r="E8" s="119"/>
    </row>
    <row r="9" spans="1:7">
      <c r="A9" s="119"/>
      <c r="E9" s="119"/>
    </row>
    <row r="10" spans="1:7">
      <c r="A10" s="119"/>
      <c r="B10" s="528"/>
      <c r="C10" s="962" t="s">
        <v>289</v>
      </c>
      <c r="D10" s="964"/>
      <c r="E10" s="119"/>
    </row>
    <row r="11" spans="1:7">
      <c r="A11" s="119" t="s">
        <v>4</v>
      </c>
      <c r="B11" s="171"/>
      <c r="C11" s="116" t="s">
        <v>292</v>
      </c>
      <c r="D11" s="118"/>
      <c r="E11" s="119" t="s">
        <v>4</v>
      </c>
    </row>
    <row r="12" spans="1:7">
      <c r="A12" s="119" t="s">
        <v>5</v>
      </c>
      <c r="B12" s="1015" t="s">
        <v>123</v>
      </c>
      <c r="C12" s="1012" t="s">
        <v>175</v>
      </c>
      <c r="D12" s="1012" t="s">
        <v>8</v>
      </c>
      <c r="E12" s="119" t="s">
        <v>5</v>
      </c>
    </row>
    <row r="13" spans="1:7">
      <c r="A13" s="119"/>
      <c r="B13" s="195"/>
      <c r="C13" s="196"/>
      <c r="D13" s="205"/>
      <c r="E13" s="119"/>
    </row>
    <row r="14" spans="1:7">
      <c r="A14" s="119">
        <v>1</v>
      </c>
      <c r="B14" s="198" t="str">
        <f>"Dec-"&amp;RIGHT(Automation!$B$3-1,2)</f>
        <v>Dec-23</v>
      </c>
      <c r="C14" s="199">
        <v>614792.31672999891</v>
      </c>
      <c r="D14" s="157" t="s">
        <v>924</v>
      </c>
      <c r="E14" s="119">
        <f>A14</f>
        <v>1</v>
      </c>
      <c r="F14" s="1201"/>
      <c r="G14" s="1202"/>
    </row>
    <row r="15" spans="1:7">
      <c r="A15" s="119">
        <f>A14+1</f>
        <v>2</v>
      </c>
      <c r="B15" s="200"/>
      <c r="C15" s="160"/>
      <c r="D15" s="160"/>
      <c r="E15" s="119">
        <f>E14+1</f>
        <v>2</v>
      </c>
    </row>
    <row r="16" spans="1:7">
      <c r="A16" s="119">
        <f t="shared" ref="A16:A20" si="0">A15+1</f>
        <v>3</v>
      </c>
      <c r="B16" s="198" t="str">
        <f>"Dec-"&amp;RIGHT(Automation!$B$3,2)</f>
        <v>Dec-24</v>
      </c>
      <c r="C16" s="181">
        <v>651436.10081000126</v>
      </c>
      <c r="D16" s="157" t="s">
        <v>925</v>
      </c>
      <c r="E16" s="119">
        <f t="shared" ref="E16:E20" si="1">E15+1</f>
        <v>3</v>
      </c>
      <c r="F16" s="126"/>
    </row>
    <row r="17" spans="1:8">
      <c r="A17" s="119">
        <f t="shared" si="0"/>
        <v>4</v>
      </c>
      <c r="B17" s="201"/>
      <c r="C17" s="1122"/>
      <c r="D17" s="1122"/>
      <c r="E17" s="119">
        <f t="shared" si="1"/>
        <v>4</v>
      </c>
    </row>
    <row r="18" spans="1:8">
      <c r="A18" s="119">
        <f t="shared" si="0"/>
        <v>5</v>
      </c>
      <c r="B18" s="528"/>
      <c r="C18" s="196"/>
      <c r="D18" s="205"/>
      <c r="E18" s="119">
        <f t="shared" si="1"/>
        <v>5</v>
      </c>
    </row>
    <row r="19" spans="1:8">
      <c r="A19" s="119">
        <f t="shared" si="0"/>
        <v>6</v>
      </c>
      <c r="B19" s="201" t="s">
        <v>238</v>
      </c>
      <c r="C19" s="206">
        <f>(C14+C16)/2</f>
        <v>633114.20877000014</v>
      </c>
      <c r="D19" s="207" t="str">
        <f>"Average of Line "&amp;A14&amp;" and Line "&amp;A16</f>
        <v>Average of Line 1 and Line 3</v>
      </c>
      <c r="E19" s="119">
        <f t="shared" si="1"/>
        <v>6</v>
      </c>
    </row>
    <row r="20" spans="1:8">
      <c r="A20" s="119">
        <f t="shared" si="0"/>
        <v>7</v>
      </c>
      <c r="B20" s="1133"/>
      <c r="C20" s="1134"/>
      <c r="D20" s="1014"/>
      <c r="E20" s="119">
        <f t="shared" si="1"/>
        <v>7</v>
      </c>
    </row>
    <row r="21" spans="1:8">
      <c r="A21" s="119"/>
      <c r="B21" s="136"/>
      <c r="C21" s="204"/>
      <c r="D21" s="136"/>
      <c r="E21" s="119"/>
    </row>
    <row r="22" spans="1:8">
      <c r="B22" s="136"/>
      <c r="C22" s="136"/>
      <c r="D22" s="136"/>
    </row>
    <row r="23" spans="1:8" ht="18.75">
      <c r="A23" s="135"/>
      <c r="B23" s="136"/>
      <c r="C23" s="136"/>
      <c r="D23" s="136"/>
    </row>
    <row r="24" spans="1:8">
      <c r="B24" s="136"/>
      <c r="C24" s="136"/>
      <c r="D24" s="136"/>
    </row>
    <row r="25" spans="1:8">
      <c r="B25" s="136"/>
      <c r="C25" s="136"/>
      <c r="D25" s="136"/>
      <c r="H25" s="193"/>
    </row>
    <row r="26" spans="1:8">
      <c r="B26" s="136"/>
      <c r="D26" s="136"/>
    </row>
    <row r="27" spans="1:8">
      <c r="B27" s="136"/>
      <c r="C27" s="136"/>
      <c r="D27" s="136"/>
    </row>
    <row r="28" spans="1:8">
      <c r="B28" s="136"/>
      <c r="C28" s="136"/>
      <c r="D28" s="136"/>
    </row>
    <row r="29" spans="1:8">
      <c r="B29" s="136"/>
      <c r="C29" s="136"/>
      <c r="D29" s="136"/>
    </row>
    <row r="30" spans="1:8">
      <c r="B30" s="136"/>
      <c r="C30" s="136"/>
      <c r="D30" s="136"/>
    </row>
    <row r="31" spans="1:8">
      <c r="B31" s="136"/>
      <c r="C31" s="136"/>
      <c r="D31" s="136"/>
    </row>
    <row r="32" spans="1:8">
      <c r="B32" s="136"/>
      <c r="C32" s="136"/>
      <c r="D32" s="136"/>
    </row>
    <row r="33" spans="1:5">
      <c r="B33" s="136"/>
      <c r="C33" s="136"/>
      <c r="D33" s="136"/>
    </row>
    <row r="34" spans="1:5" s="136" customFormat="1">
      <c r="A34" s="119"/>
      <c r="E34" s="119"/>
    </row>
    <row r="35" spans="1:5" s="136" customFormat="1">
      <c r="A35" s="119"/>
      <c r="E35" s="119"/>
    </row>
    <row r="36" spans="1:5" s="136" customFormat="1">
      <c r="A36" s="119"/>
      <c r="E36" s="119"/>
    </row>
    <row r="37" spans="1:5" s="136" customFormat="1">
      <c r="A37" s="119"/>
      <c r="E37" s="119"/>
    </row>
    <row r="38" spans="1:5" s="136" customFormat="1">
      <c r="A38" s="119"/>
      <c r="E38" s="119"/>
    </row>
    <row r="39" spans="1:5" s="136" customFormat="1">
      <c r="A39" s="119"/>
      <c r="E39" s="119"/>
    </row>
    <row r="40" spans="1:5" s="136" customFormat="1">
      <c r="A40" s="119"/>
      <c r="E40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8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L30"/>
  <sheetViews>
    <sheetView zoomScale="80" zoomScaleNormal="80" workbookViewId="0">
      <selection activeCell="E42" sqref="E42"/>
    </sheetView>
  </sheetViews>
  <sheetFormatPr defaultColWidth="9.140625" defaultRowHeight="15.75"/>
  <cols>
    <col min="1" max="1" width="5.140625" style="109" customWidth="1"/>
    <col min="2" max="2" width="8.5703125" style="110" customWidth="1"/>
    <col min="3" max="3" width="41.140625" style="110" customWidth="1"/>
    <col min="4" max="4" width="18.5703125" style="110" customWidth="1"/>
    <col min="5" max="5" width="62.5703125" style="110" customWidth="1"/>
    <col min="6" max="6" width="5.140625" style="109" customWidth="1"/>
    <col min="7" max="7" width="24" style="110" customWidth="1"/>
    <col min="8" max="8" width="11" style="110" customWidth="1"/>
    <col min="9" max="9" width="7.140625" style="110" customWidth="1"/>
    <col min="10" max="10" width="9.140625" style="110" customWidth="1"/>
    <col min="11" max="11" width="14" style="110" customWidth="1"/>
    <col min="12" max="12" width="15.140625" style="110" bestFit="1" customWidth="1"/>
    <col min="13" max="16384" width="9.140625" style="110"/>
  </cols>
  <sheetData>
    <row r="2" spans="1:7">
      <c r="B2" s="1287" t="s">
        <v>0</v>
      </c>
      <c r="C2" s="1287"/>
      <c r="D2" s="1287"/>
      <c r="E2" s="1287"/>
    </row>
    <row r="3" spans="1:7">
      <c r="B3" s="1287" t="s">
        <v>208</v>
      </c>
      <c r="C3" s="1287"/>
      <c r="D3" s="1287"/>
      <c r="E3" s="1287"/>
    </row>
    <row r="4" spans="1:7">
      <c r="B4" s="1287" t="s">
        <v>209</v>
      </c>
      <c r="C4" s="1287"/>
      <c r="D4" s="1287"/>
      <c r="E4" s="1287"/>
    </row>
    <row r="5" spans="1:7">
      <c r="B5" s="1287" t="str">
        <f>"BASE PERIOD / TRUE UP PERIOD - 12/31/"&amp;Automation!$B$3&amp;" PER BOOK"</f>
        <v>BASE PERIOD / TRUE UP PERIOD - 12/31/2024 PER BOOK</v>
      </c>
      <c r="C5" s="1287"/>
      <c r="D5" s="1287"/>
      <c r="E5" s="1287"/>
      <c r="G5"/>
    </row>
    <row r="6" spans="1:7">
      <c r="B6" s="1291" t="s">
        <v>3</v>
      </c>
      <c r="C6" s="1291"/>
      <c r="D6" s="1291"/>
      <c r="E6" s="1291"/>
    </row>
    <row r="7" spans="1:7">
      <c r="B7" s="111"/>
      <c r="C7" s="111"/>
      <c r="D7" s="111"/>
      <c r="E7" s="111"/>
    </row>
    <row r="8" spans="1:7">
      <c r="B8" s="1287" t="s">
        <v>293</v>
      </c>
      <c r="C8" s="1287"/>
      <c r="D8" s="1287"/>
      <c r="E8" s="1287"/>
      <c r="F8" s="119"/>
    </row>
    <row r="9" spans="1:7">
      <c r="A9" s="119"/>
      <c r="F9" s="119"/>
    </row>
    <row r="10" spans="1:7">
      <c r="A10" s="119" t="s">
        <v>4</v>
      </c>
      <c r="B10" s="524"/>
      <c r="C10" s="524"/>
      <c r="D10" s="525"/>
      <c r="E10" s="962"/>
      <c r="F10" s="119" t="s">
        <v>4</v>
      </c>
    </row>
    <row r="11" spans="1:7">
      <c r="A11" s="119" t="s">
        <v>5</v>
      </c>
      <c r="B11" s="1015" t="s">
        <v>123</v>
      </c>
      <c r="C11" s="1015" t="s">
        <v>261</v>
      </c>
      <c r="D11" s="1015" t="s">
        <v>7</v>
      </c>
      <c r="E11" s="1012" t="s">
        <v>8</v>
      </c>
      <c r="F11" s="119" t="s">
        <v>5</v>
      </c>
    </row>
    <row r="12" spans="1:7">
      <c r="A12" s="119"/>
      <c r="B12" s="965"/>
      <c r="C12" s="965"/>
      <c r="D12" s="158"/>
      <c r="E12" s="966"/>
      <c r="F12" s="119"/>
    </row>
    <row r="13" spans="1:7">
      <c r="A13" s="119">
        <v>1</v>
      </c>
      <c r="B13" s="198" t="str">
        <f>"Dec-"&amp;RIGHT(Automation!$B$3-1,2)</f>
        <v>Dec-23</v>
      </c>
      <c r="C13" s="198" t="s">
        <v>294</v>
      </c>
      <c r="D13" s="527">
        <v>2451965.4819999998</v>
      </c>
      <c r="E13" s="527" t="s">
        <v>1000</v>
      </c>
      <c r="F13" s="119">
        <f>A13</f>
        <v>1</v>
      </c>
    </row>
    <row r="14" spans="1:7">
      <c r="A14" s="119">
        <f>A13+1</f>
        <v>2</v>
      </c>
      <c r="B14" s="198"/>
      <c r="C14" s="198" t="s">
        <v>295</v>
      </c>
      <c r="D14" s="1016">
        <v>0.73899999999999999</v>
      </c>
      <c r="E14" s="539" t="s">
        <v>1002</v>
      </c>
      <c r="F14" s="119">
        <f>F13+1</f>
        <v>2</v>
      </c>
    </row>
    <row r="15" spans="1:7">
      <c r="A15" s="119">
        <f t="shared" ref="A15:A23" si="0">A14+1</f>
        <v>3</v>
      </c>
      <c r="B15" s="198"/>
      <c r="C15" s="198" t="s">
        <v>296</v>
      </c>
      <c r="D15" s="527">
        <f>D13*D14</f>
        <v>1812002.4911979998</v>
      </c>
      <c r="E15" s="157" t="str">
        <f>"Line "&amp;A13&amp;" x Line "&amp;A14</f>
        <v>Line 1 x Line 2</v>
      </c>
      <c r="F15" s="119">
        <f t="shared" ref="F15:F23" si="1">F14+1</f>
        <v>3</v>
      </c>
    </row>
    <row r="16" spans="1:7">
      <c r="A16" s="119">
        <f t="shared" si="0"/>
        <v>4</v>
      </c>
      <c r="B16" s="198"/>
      <c r="C16" s="198"/>
      <c r="D16" s="208"/>
      <c r="E16" s="157"/>
      <c r="F16" s="119">
        <f t="shared" si="1"/>
        <v>4</v>
      </c>
    </row>
    <row r="17" spans="1:12">
      <c r="A17" s="119">
        <f t="shared" si="0"/>
        <v>5</v>
      </c>
      <c r="B17" s="198" t="str">
        <f>"Dec-"&amp;RIGHT(Automation!$B$3,2)</f>
        <v>Dec-24</v>
      </c>
      <c r="C17" s="198" t="s">
        <v>294</v>
      </c>
      <c r="D17" s="527">
        <v>2651696.2480000001</v>
      </c>
      <c r="E17" s="527" t="s">
        <v>1001</v>
      </c>
      <c r="F17" s="119">
        <f t="shared" si="1"/>
        <v>5</v>
      </c>
    </row>
    <row r="18" spans="1:12">
      <c r="A18" s="119">
        <f t="shared" si="0"/>
        <v>6</v>
      </c>
      <c r="B18" s="198"/>
      <c r="C18" s="198" t="s">
        <v>295</v>
      </c>
      <c r="D18" s="1016">
        <v>0.73870000000000002</v>
      </c>
      <c r="E18" s="539" t="s">
        <v>1002</v>
      </c>
      <c r="F18" s="119">
        <f t="shared" si="1"/>
        <v>6</v>
      </c>
      <c r="G18" s="413"/>
      <c r="L18" s="226"/>
    </row>
    <row r="19" spans="1:12">
      <c r="A19" s="119">
        <f t="shared" si="0"/>
        <v>7</v>
      </c>
      <c r="B19" s="198"/>
      <c r="C19" s="198" t="s">
        <v>296</v>
      </c>
      <c r="D19" s="527">
        <f>D17*D18</f>
        <v>1958808.0183976002</v>
      </c>
      <c r="E19" s="207" t="str">
        <f>"Line "&amp;A17&amp;" x Line "&amp;A18</f>
        <v>Line 5 x Line 6</v>
      </c>
      <c r="F19" s="119">
        <f t="shared" si="1"/>
        <v>7</v>
      </c>
      <c r="G19" s="418"/>
      <c r="L19" s="226"/>
    </row>
    <row r="20" spans="1:12">
      <c r="A20" s="119">
        <f t="shared" si="0"/>
        <v>8</v>
      </c>
      <c r="B20" s="1017"/>
      <c r="C20" s="1015"/>
      <c r="D20" s="1135"/>
      <c r="E20" s="1018"/>
      <c r="F20" s="119">
        <f t="shared" si="1"/>
        <v>8</v>
      </c>
      <c r="G20" s="418"/>
      <c r="L20" s="226"/>
    </row>
    <row r="21" spans="1:12">
      <c r="A21" s="119">
        <f t="shared" si="0"/>
        <v>9</v>
      </c>
      <c r="B21" s="528"/>
      <c r="D21" s="148"/>
      <c r="E21" s="130"/>
      <c r="F21" s="119">
        <f t="shared" si="1"/>
        <v>9</v>
      </c>
      <c r="G21" s="418"/>
    </row>
    <row r="22" spans="1:12">
      <c r="A22" s="119">
        <f t="shared" si="0"/>
        <v>10</v>
      </c>
      <c r="B22" s="201" t="s">
        <v>238</v>
      </c>
      <c r="D22" s="202">
        <f>(D15+D19)/2</f>
        <v>1885405.2547978</v>
      </c>
      <c r="E22" s="158" t="str">
        <f>"Average of Line "&amp;A15&amp;" and Line "&amp;A19</f>
        <v>Average of Line 3 and Line 7</v>
      </c>
      <c r="F22" s="119">
        <f t="shared" si="1"/>
        <v>10</v>
      </c>
      <c r="G22" s="418"/>
      <c r="L22" s="226"/>
    </row>
    <row r="23" spans="1:12">
      <c r="A23" s="119">
        <f t="shared" si="0"/>
        <v>11</v>
      </c>
      <c r="B23" s="1133"/>
      <c r="C23" s="1136"/>
      <c r="D23" s="1038"/>
      <c r="E23" s="1122"/>
      <c r="F23" s="119">
        <f t="shared" si="1"/>
        <v>11</v>
      </c>
      <c r="G23" s="418"/>
    </row>
    <row r="24" spans="1:12">
      <c r="A24" s="119"/>
      <c r="B24" s="136"/>
      <c r="C24" s="136"/>
      <c r="D24" s="136"/>
      <c r="E24" s="136"/>
      <c r="F24" s="119"/>
      <c r="G24" s="418"/>
    </row>
    <row r="25" spans="1:12">
      <c r="A25" s="119"/>
      <c r="B25" s="136"/>
      <c r="C25" s="136"/>
      <c r="D25" s="136"/>
      <c r="E25" s="136"/>
      <c r="G25" s="418"/>
    </row>
    <row r="26" spans="1:12">
      <c r="A26" s="119"/>
      <c r="B26" s="136"/>
      <c r="C26" s="136"/>
      <c r="D26" s="136"/>
      <c r="E26" s="136"/>
      <c r="G26" s="418"/>
    </row>
    <row r="27" spans="1:12">
      <c r="G27" s="418"/>
    </row>
    <row r="28" spans="1:12">
      <c r="G28" s="418"/>
    </row>
    <row r="29" spans="1:12">
      <c r="G29" s="418"/>
    </row>
    <row r="30" spans="1:12">
      <c r="G30" s="418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40"/>
  <sheetViews>
    <sheetView zoomScale="80" zoomScaleNormal="80" zoomScalePageLayoutView="80" workbookViewId="0">
      <selection activeCell="N37" sqref="N37"/>
    </sheetView>
  </sheetViews>
  <sheetFormatPr defaultColWidth="8.5703125" defaultRowHeight="15.75"/>
  <cols>
    <col min="1" max="1" width="5.140625" style="119" bestFit="1" customWidth="1"/>
    <col min="2" max="2" width="67.5703125" style="136" customWidth="1"/>
    <col min="3" max="3" width="24" style="119" customWidth="1"/>
    <col min="4" max="4" width="1.5703125" style="136" customWidth="1"/>
    <col min="5" max="5" width="16.5703125" style="136" customWidth="1"/>
    <col min="6" max="6" width="1.5703125" style="136" customWidth="1"/>
    <col min="7" max="7" width="16.5703125" style="136" customWidth="1"/>
    <col min="8" max="8" width="1.5703125" style="136" customWidth="1"/>
    <col min="9" max="9" width="16.5703125" style="136" customWidth="1"/>
    <col min="10" max="10" width="1.5703125" style="136" customWidth="1"/>
    <col min="11" max="11" width="34.5703125" style="136" customWidth="1"/>
    <col min="12" max="12" width="5.140625" style="136" bestFit="1" customWidth="1"/>
    <col min="13" max="13" width="8.5703125" style="136"/>
    <col min="14" max="14" width="33.42578125" style="136" customWidth="1"/>
    <col min="15" max="16384" width="8.5703125" style="136"/>
  </cols>
  <sheetData>
    <row r="1" spans="1:14">
      <c r="H1" s="119"/>
      <c r="I1" s="119"/>
      <c r="J1" s="119"/>
      <c r="K1" s="119"/>
      <c r="L1" s="119"/>
    </row>
    <row r="2" spans="1:14">
      <c r="B2" s="1287" t="s">
        <v>0</v>
      </c>
      <c r="C2" s="1287"/>
      <c r="D2" s="1287"/>
      <c r="E2" s="1287"/>
      <c r="F2" s="1287"/>
      <c r="G2" s="1287"/>
      <c r="H2" s="1287"/>
      <c r="I2" s="1287"/>
      <c r="J2" s="1287"/>
      <c r="K2" s="1287"/>
      <c r="L2" s="119"/>
    </row>
    <row r="3" spans="1:14">
      <c r="B3" s="1287" t="s">
        <v>297</v>
      </c>
      <c r="C3" s="1287"/>
      <c r="D3" s="1287"/>
      <c r="E3" s="1287"/>
      <c r="F3" s="1287"/>
      <c r="G3" s="1287"/>
      <c r="H3" s="1287"/>
      <c r="I3" s="1287"/>
      <c r="J3" s="1287"/>
      <c r="K3" s="1287"/>
      <c r="L3" s="119"/>
    </row>
    <row r="4" spans="1:14">
      <c r="B4" s="1287" t="s">
        <v>298</v>
      </c>
      <c r="C4" s="1287"/>
      <c r="D4" s="1287"/>
      <c r="E4" s="1287"/>
      <c r="F4" s="1287"/>
      <c r="G4" s="1287"/>
      <c r="H4" s="1287"/>
      <c r="I4" s="1287"/>
      <c r="J4" s="1287"/>
      <c r="K4" s="1287"/>
      <c r="L4" s="119"/>
    </row>
    <row r="5" spans="1:14">
      <c r="B5" s="1289" t="str">
        <f>'A. Sec.1 - Direct Maintenance'!B5</f>
        <v>Base Period &amp; True-Up Period 12 - Months Ending December 31, 2024</v>
      </c>
      <c r="C5" s="1289"/>
      <c r="D5" s="1289"/>
      <c r="E5" s="1289"/>
      <c r="F5" s="1289"/>
      <c r="G5" s="1289"/>
      <c r="H5" s="1289"/>
      <c r="I5" s="1289"/>
      <c r="J5" s="1289"/>
      <c r="K5" s="1289"/>
      <c r="L5" s="119"/>
      <c r="N5" s="110"/>
    </row>
    <row r="6" spans="1:14">
      <c r="B6" s="1291" t="s">
        <v>3</v>
      </c>
      <c r="C6" s="1288"/>
      <c r="D6" s="1288"/>
      <c r="E6" s="1288"/>
      <c r="F6" s="1288"/>
      <c r="G6" s="1288"/>
      <c r="H6" s="1288"/>
      <c r="I6" s="1288"/>
      <c r="J6" s="1288"/>
      <c r="K6" s="1288"/>
      <c r="L6" s="119"/>
      <c r="N6" s="424"/>
    </row>
    <row r="7" spans="1:14">
      <c r="B7" s="119"/>
      <c r="D7" s="119"/>
      <c r="E7" s="119"/>
      <c r="F7" s="119"/>
      <c r="G7" s="119"/>
      <c r="H7" s="109"/>
      <c r="I7" s="109"/>
      <c r="J7" s="109"/>
      <c r="K7" s="119"/>
      <c r="L7" s="119"/>
    </row>
    <row r="8" spans="1:14">
      <c r="A8" s="119" t="s">
        <v>4</v>
      </c>
      <c r="B8" s="109"/>
      <c r="C8" s="247" t="s">
        <v>188</v>
      </c>
      <c r="D8" s="109"/>
      <c r="E8" s="341" t="s">
        <v>77</v>
      </c>
      <c r="F8" s="119"/>
      <c r="G8" s="341" t="s">
        <v>78</v>
      </c>
      <c r="H8" s="119"/>
      <c r="I8" s="341" t="s">
        <v>189</v>
      </c>
      <c r="J8" s="109"/>
      <c r="K8" s="119"/>
      <c r="L8" s="119" t="s">
        <v>4</v>
      </c>
    </row>
    <row r="9" spans="1:14">
      <c r="A9" s="119" t="s">
        <v>5</v>
      </c>
      <c r="B9" s="109"/>
      <c r="C9" s="994" t="s">
        <v>190</v>
      </c>
      <c r="D9" s="109"/>
      <c r="E9" s="1137" t="str">
        <f>'Stmt AD'!E9</f>
        <v>31-Dec-23</v>
      </c>
      <c r="F9" s="109"/>
      <c r="G9" s="1137" t="str">
        <f>'Stmt AD'!G9</f>
        <v>31-Dec-24</v>
      </c>
      <c r="H9" s="109"/>
      <c r="I9" s="1008" t="s">
        <v>191</v>
      </c>
      <c r="J9" s="109"/>
      <c r="K9" s="1009" t="s">
        <v>8</v>
      </c>
      <c r="L9" s="119" t="s">
        <v>5</v>
      </c>
      <c r="N9" s="193"/>
    </row>
    <row r="10" spans="1:14">
      <c r="B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4" ht="18.75">
      <c r="A11" s="119">
        <v>1</v>
      </c>
      <c r="B11" s="16" t="s">
        <v>299</v>
      </c>
      <c r="D11" s="119"/>
      <c r="E11" s="425"/>
      <c r="F11" s="349"/>
      <c r="G11" s="425"/>
      <c r="H11" s="426"/>
      <c r="I11" s="427">
        <f>'AE-1'!E36</f>
        <v>2133649.734471628</v>
      </c>
      <c r="J11" s="352"/>
      <c r="K11" s="119" t="str">
        <f>"AE-1; Line "&amp;'AE-1'!A36</f>
        <v>AE-1; Line 23</v>
      </c>
      <c r="L11" s="119">
        <f>A11</f>
        <v>1</v>
      </c>
      <c r="N11" s="193"/>
    </row>
    <row r="12" spans="1:14">
      <c r="A12" s="119">
        <f>A11+1</f>
        <v>2</v>
      </c>
      <c r="B12" s="16"/>
      <c r="E12" s="342"/>
      <c r="G12" s="342"/>
      <c r="H12" s="355"/>
      <c r="I12" s="342"/>
      <c r="J12" s="355"/>
      <c r="K12" s="428"/>
      <c r="L12" s="119">
        <f>L11+1</f>
        <v>2</v>
      </c>
    </row>
    <row r="13" spans="1:14" ht="18.75">
      <c r="A13" s="119">
        <f t="shared" ref="A13:A29" si="0">+A12+1</f>
        <v>3</v>
      </c>
      <c r="B13" s="16" t="s">
        <v>912</v>
      </c>
      <c r="E13" s="429">
        <f>'AE-2'!C14</f>
        <v>76610.14694999998</v>
      </c>
      <c r="F13" s="430"/>
      <c r="G13" s="429">
        <f>'AE-2'!C16</f>
        <v>96781.857920000039</v>
      </c>
      <c r="H13" s="352"/>
      <c r="I13" s="360">
        <f>(E13+G13)/2</f>
        <v>86696.002435000002</v>
      </c>
      <c r="J13" s="352"/>
      <c r="K13" s="119" t="str">
        <f>"AE-2; Line "&amp;'AE-2'!A19</f>
        <v>AE-2; Line 6</v>
      </c>
      <c r="L13" s="119">
        <f t="shared" ref="L13:L29" si="1">+L12+1</f>
        <v>3</v>
      </c>
    </row>
    <row r="14" spans="1:14">
      <c r="A14" s="119">
        <f t="shared" si="0"/>
        <v>4</v>
      </c>
      <c r="B14" s="16"/>
      <c r="E14" s="342"/>
      <c r="G14" s="342"/>
      <c r="H14" s="355"/>
      <c r="I14" s="360"/>
      <c r="J14" s="355"/>
      <c r="K14" s="347"/>
      <c r="L14" s="119">
        <f t="shared" si="1"/>
        <v>4</v>
      </c>
    </row>
    <row r="15" spans="1:14" ht="18.75">
      <c r="A15" s="119">
        <f t="shared" si="0"/>
        <v>5</v>
      </c>
      <c r="B15" s="16" t="s">
        <v>913</v>
      </c>
      <c r="E15" s="389">
        <f>'AE-3'!C14</f>
        <v>268071.91264152038</v>
      </c>
      <c r="G15" s="389">
        <f>'AE-3'!C16</f>
        <v>295030.92501313915</v>
      </c>
      <c r="H15" s="431"/>
      <c r="I15" s="360">
        <f>(E15+G15)/2</f>
        <v>281551.41882732976</v>
      </c>
      <c r="J15" s="355"/>
      <c r="K15" s="119" t="str">
        <f>"AE-3; Line "&amp;'AE-3'!A19</f>
        <v>AE-3; Line 6</v>
      </c>
      <c r="L15" s="119">
        <f t="shared" si="1"/>
        <v>5</v>
      </c>
    </row>
    <row r="16" spans="1:14">
      <c r="A16" s="119">
        <f t="shared" si="0"/>
        <v>6</v>
      </c>
      <c r="B16" s="16"/>
      <c r="E16" s="360"/>
      <c r="G16" s="360"/>
      <c r="H16" s="355"/>
      <c r="I16" s="361"/>
      <c r="J16" s="355"/>
      <c r="K16" s="347"/>
      <c r="L16" s="119">
        <f t="shared" si="1"/>
        <v>6</v>
      </c>
    </row>
    <row r="17" spans="1:14" ht="18.75">
      <c r="A17" s="119">
        <f t="shared" si="0"/>
        <v>7</v>
      </c>
      <c r="B17" s="16" t="s">
        <v>300</v>
      </c>
      <c r="E17" s="389">
        <f>'AE-4'!D15</f>
        <v>756371.15274399996</v>
      </c>
      <c r="G17" s="389">
        <f>'AE-4'!D19</f>
        <v>875143.0719804999</v>
      </c>
      <c r="H17" s="431"/>
      <c r="I17" s="360">
        <f>(E17+G17)/2</f>
        <v>815757.11236224999</v>
      </c>
      <c r="J17" s="355"/>
      <c r="K17" s="119" t="str">
        <f>"AE-4; Line "&amp;'AE-4'!A22</f>
        <v>AE-4; Line 10</v>
      </c>
      <c r="L17" s="119">
        <f t="shared" si="1"/>
        <v>7</v>
      </c>
    </row>
    <row r="18" spans="1:14">
      <c r="A18" s="119">
        <f t="shared" si="0"/>
        <v>8</v>
      </c>
      <c r="B18" s="16"/>
      <c r="E18" s="342"/>
      <c r="G18" s="342"/>
      <c r="H18" s="355"/>
      <c r="I18" s="342"/>
      <c r="J18" s="355"/>
      <c r="K18" s="354"/>
      <c r="L18" s="119">
        <f t="shared" si="1"/>
        <v>8</v>
      </c>
    </row>
    <row r="19" spans="1:14">
      <c r="A19" s="119">
        <f t="shared" si="0"/>
        <v>9</v>
      </c>
      <c r="B19" s="16" t="s">
        <v>197</v>
      </c>
      <c r="E19" s="356"/>
      <c r="G19" s="356"/>
      <c r="H19" s="357"/>
      <c r="I19" s="1010">
        <f>'Stmt AI'!E27</f>
        <v>0.1045186789759834</v>
      </c>
      <c r="J19" s="357"/>
      <c r="K19" s="347" t="str">
        <f>"Statement AI; Line "&amp;'Stmt AI'!A27</f>
        <v>Statement AI; Line 17</v>
      </c>
      <c r="L19" s="119">
        <f t="shared" si="1"/>
        <v>9</v>
      </c>
      <c r="N19" s="193"/>
    </row>
    <row r="20" spans="1:14">
      <c r="A20" s="119">
        <f t="shared" si="0"/>
        <v>10</v>
      </c>
      <c r="B20" s="16"/>
      <c r="E20" s="342"/>
      <c r="G20" s="342"/>
      <c r="H20" s="355"/>
      <c r="I20" s="381"/>
      <c r="J20" s="355"/>
      <c r="K20" s="354"/>
      <c r="L20" s="119">
        <f t="shared" si="1"/>
        <v>10</v>
      </c>
    </row>
    <row r="21" spans="1:14">
      <c r="A21" s="119">
        <f t="shared" si="0"/>
        <v>11</v>
      </c>
      <c r="B21" s="16" t="s">
        <v>301</v>
      </c>
      <c r="E21" s="342"/>
      <c r="G21" s="342"/>
      <c r="H21" s="355"/>
      <c r="I21" s="432">
        <f>I13*I19</f>
        <v>9061.3516470048398</v>
      </c>
      <c r="J21" s="352"/>
      <c r="K21" s="354" t="str">
        <f>"Line "&amp;A13&amp;" x Line "&amp;A19</f>
        <v>Line 3 x Line 9</v>
      </c>
      <c r="L21" s="119">
        <f t="shared" si="1"/>
        <v>11</v>
      </c>
    </row>
    <row r="22" spans="1:14">
      <c r="A22" s="119">
        <f t="shared" si="0"/>
        <v>12</v>
      </c>
      <c r="B22" s="16"/>
      <c r="E22" s="342"/>
      <c r="G22" s="342"/>
      <c r="H22" s="355"/>
      <c r="I22" s="381"/>
      <c r="J22" s="355"/>
      <c r="K22" s="354"/>
      <c r="L22" s="119">
        <f t="shared" si="1"/>
        <v>12</v>
      </c>
    </row>
    <row r="23" spans="1:14">
      <c r="A23" s="119">
        <f t="shared" si="0"/>
        <v>13</v>
      </c>
      <c r="B23" s="16" t="s">
        <v>302</v>
      </c>
      <c r="E23" s="360"/>
      <c r="F23" s="183"/>
      <c r="G23" s="360"/>
      <c r="H23" s="433"/>
      <c r="I23" s="434">
        <f>I15*I19</f>
        <v>29427.382359646326</v>
      </c>
      <c r="J23" s="355"/>
      <c r="K23" s="354" t="str">
        <f>"Line "&amp;A15&amp;" x Line "&amp;A19</f>
        <v>Line 5 x Line 9</v>
      </c>
      <c r="L23" s="119">
        <f t="shared" si="1"/>
        <v>13</v>
      </c>
    </row>
    <row r="24" spans="1:14">
      <c r="A24" s="119">
        <f t="shared" si="0"/>
        <v>14</v>
      </c>
      <c r="B24" s="16"/>
      <c r="E24" s="360"/>
      <c r="F24" s="183"/>
      <c r="G24" s="360"/>
      <c r="H24" s="431"/>
      <c r="I24" s="391"/>
      <c r="J24" s="355"/>
      <c r="K24" s="354"/>
      <c r="L24" s="119">
        <f t="shared" si="1"/>
        <v>14</v>
      </c>
    </row>
    <row r="25" spans="1:14">
      <c r="A25" s="119">
        <f t="shared" si="0"/>
        <v>15</v>
      </c>
      <c r="B25" s="16" t="s">
        <v>303</v>
      </c>
      <c r="E25" s="434"/>
      <c r="F25" s="183"/>
      <c r="G25" s="434"/>
      <c r="H25" s="431"/>
      <c r="I25" s="1138">
        <f>I17*I19</f>
        <v>85261.855749365219</v>
      </c>
      <c r="J25" s="355"/>
      <c r="K25" s="354" t="str">
        <f>"Line "&amp;A17&amp;" x Line "&amp;A19</f>
        <v>Line 7 x Line 9</v>
      </c>
      <c r="L25" s="119">
        <f t="shared" si="1"/>
        <v>15</v>
      </c>
    </row>
    <row r="26" spans="1:14">
      <c r="A26" s="119">
        <f t="shared" si="0"/>
        <v>16</v>
      </c>
      <c r="B26" s="16"/>
      <c r="E26" s="434"/>
      <c r="F26" s="183"/>
      <c r="G26" s="434"/>
      <c r="H26" s="431"/>
      <c r="I26" s="391"/>
      <c r="J26" s="355"/>
      <c r="K26" s="354"/>
      <c r="L26" s="119">
        <f t="shared" si="1"/>
        <v>16</v>
      </c>
    </row>
    <row r="27" spans="1:14" ht="16.5" thickBot="1">
      <c r="A27" s="119">
        <f t="shared" si="0"/>
        <v>17</v>
      </c>
      <c r="B27" s="16" t="s">
        <v>304</v>
      </c>
      <c r="E27" s="358"/>
      <c r="F27" s="183"/>
      <c r="G27" s="358"/>
      <c r="H27" s="431"/>
      <c r="I27" s="359">
        <f>I11+I21+I23+I25</f>
        <v>2257400.3242276446</v>
      </c>
      <c r="J27" s="352"/>
      <c r="K27" s="354" t="str">
        <f>"Line "&amp;A11&amp;" + (Sum Lines "&amp;A21&amp;" thru "&amp;A25&amp;")"</f>
        <v>Line 1 + (Sum Lines 11 thru 15)</v>
      </c>
      <c r="L27" s="119">
        <f t="shared" si="1"/>
        <v>17</v>
      </c>
    </row>
    <row r="28" spans="1:14" ht="16.5" thickTop="1">
      <c r="A28" s="119">
        <f t="shared" si="0"/>
        <v>18</v>
      </c>
      <c r="B28" s="16"/>
      <c r="E28" s="358"/>
      <c r="F28" s="183"/>
      <c r="G28" s="358"/>
      <c r="H28" s="431"/>
      <c r="I28" s="358"/>
      <c r="J28" s="352"/>
      <c r="K28" s="354"/>
      <c r="L28" s="119">
        <f t="shared" si="1"/>
        <v>18</v>
      </c>
    </row>
    <row r="29" spans="1:14" ht="19.5" thickBot="1">
      <c r="A29" s="119">
        <f t="shared" si="0"/>
        <v>19</v>
      </c>
      <c r="B29" s="16" t="s">
        <v>305</v>
      </c>
      <c r="E29" s="358"/>
      <c r="F29" s="183"/>
      <c r="G29" s="358"/>
      <c r="H29" s="431"/>
      <c r="I29" s="882">
        <v>0</v>
      </c>
      <c r="J29" s="119"/>
      <c r="K29" s="119" t="s">
        <v>306</v>
      </c>
      <c r="L29" s="119">
        <f t="shared" si="1"/>
        <v>19</v>
      </c>
    </row>
    <row r="30" spans="1:14" ht="16.5" thickTop="1">
      <c r="B30" s="16"/>
      <c r="G30" s="351"/>
      <c r="H30" s="355"/>
      <c r="I30" s="355"/>
      <c r="J30" s="355"/>
      <c r="K30" s="354"/>
      <c r="L30" s="119"/>
    </row>
    <row r="32" spans="1:14" ht="18.75">
      <c r="A32" s="2">
        <v>1</v>
      </c>
      <c r="B32" s="136" t="s">
        <v>307</v>
      </c>
    </row>
    <row r="33" spans="1:14" ht="18.75">
      <c r="A33" s="1">
        <v>2</v>
      </c>
      <c r="B33" s="16" t="s">
        <v>308</v>
      </c>
    </row>
    <row r="34" spans="1:14" ht="18.75">
      <c r="A34" s="1">
        <v>3</v>
      </c>
      <c r="B34" s="136" t="s">
        <v>309</v>
      </c>
    </row>
    <row r="35" spans="1:14" ht="18.75">
      <c r="A35" s="1">
        <v>4</v>
      </c>
      <c r="B35" s="136" t="s">
        <v>206</v>
      </c>
    </row>
    <row r="36" spans="1:14" ht="18.75">
      <c r="A36" s="1"/>
    </row>
    <row r="38" spans="1:14" ht="18.75">
      <c r="A38" s="1"/>
    </row>
    <row r="40" spans="1:14">
      <c r="N40" s="193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0" orientation="portrait" r:id="rId1"/>
  <headerFooter scaleWithDoc="0">
    <oddFooter>&amp;C&amp;"Times New Roman,Regular"&amp;10AE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H47"/>
  <sheetViews>
    <sheetView zoomScale="80" zoomScaleNormal="80" workbookViewId="0">
      <selection activeCell="F42" sqref="F42"/>
    </sheetView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14" customWidth="1"/>
    <col min="5" max="5" width="18.5703125" style="110" customWidth="1"/>
    <col min="6" max="6" width="69.5703125" style="110" bestFit="1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42578125" style="110" customWidth="1"/>
    <col min="14" max="16384" width="9.140625" style="110"/>
  </cols>
  <sheetData>
    <row r="2" spans="1:8">
      <c r="B2" s="1287" t="s">
        <v>0</v>
      </c>
      <c r="C2" s="1287"/>
      <c r="D2" s="1287"/>
      <c r="E2" s="1287"/>
      <c r="F2" s="1287"/>
    </row>
    <row r="3" spans="1:8">
      <c r="B3" s="1287" t="s">
        <v>310</v>
      </c>
      <c r="C3" s="1287"/>
      <c r="D3" s="1287"/>
      <c r="E3" s="1287"/>
      <c r="F3" s="1287"/>
    </row>
    <row r="4" spans="1:8">
      <c r="B4" s="1287" t="s">
        <v>311</v>
      </c>
      <c r="C4" s="1287"/>
      <c r="D4" s="1287"/>
      <c r="E4" s="1287"/>
      <c r="F4" s="1287"/>
    </row>
    <row r="5" spans="1:8">
      <c r="B5" s="1287" t="str">
        <f>"BASE PERIOD / TRUE UP PERIOD - 12/31/"&amp;Automation!$B$3&amp;" PER BOOK"</f>
        <v>BASE PERIOD / TRUE UP PERIOD - 12/31/2024 PER BOOK</v>
      </c>
      <c r="C5" s="1287"/>
      <c r="D5" s="1287"/>
      <c r="E5" s="1287"/>
      <c r="F5" s="1287"/>
    </row>
    <row r="6" spans="1:8">
      <c r="B6" s="1291" t="s">
        <v>3</v>
      </c>
      <c r="C6" s="1291"/>
      <c r="D6" s="1291"/>
      <c r="E6" s="1291"/>
      <c r="F6" s="1291"/>
    </row>
    <row r="7" spans="1:8">
      <c r="B7" s="111"/>
      <c r="C7" s="112"/>
      <c r="D7" s="112"/>
      <c r="E7" s="111"/>
      <c r="F7" s="111"/>
    </row>
    <row r="8" spans="1:8">
      <c r="B8" s="1287" t="s">
        <v>239</v>
      </c>
      <c r="C8" s="1287"/>
      <c r="D8" s="1287"/>
      <c r="E8" s="1287"/>
      <c r="F8" s="1287"/>
    </row>
    <row r="10" spans="1:8">
      <c r="A10" s="119"/>
      <c r="B10" s="857"/>
      <c r="C10" s="859" t="s">
        <v>80</v>
      </c>
      <c r="D10" s="858"/>
      <c r="E10" s="859"/>
      <c r="F10" s="858"/>
    </row>
    <row r="11" spans="1:8">
      <c r="A11" s="119"/>
      <c r="B11" s="116"/>
      <c r="C11" s="116" t="s">
        <v>240</v>
      </c>
      <c r="D11" s="121"/>
      <c r="E11" s="116" t="s">
        <v>240</v>
      </c>
      <c r="F11" s="121"/>
    </row>
    <row r="12" spans="1:8">
      <c r="A12" s="119" t="s">
        <v>4</v>
      </c>
      <c r="B12" s="120"/>
      <c r="C12" s="116" t="s">
        <v>312</v>
      </c>
      <c r="D12" s="194"/>
      <c r="E12" s="116" t="s">
        <v>312</v>
      </c>
      <c r="F12" s="194"/>
      <c r="G12" s="119" t="s">
        <v>4</v>
      </c>
    </row>
    <row r="13" spans="1:8" ht="18.75">
      <c r="A13" s="119" t="s">
        <v>5</v>
      </c>
      <c r="B13" s="1012" t="s">
        <v>123</v>
      </c>
      <c r="C13" s="1012" t="s">
        <v>213</v>
      </c>
      <c r="D13" s="1110" t="s">
        <v>8</v>
      </c>
      <c r="E13" s="1012" t="s">
        <v>214</v>
      </c>
      <c r="F13" s="1110" t="s">
        <v>8</v>
      </c>
      <c r="G13" s="119" t="s">
        <v>5</v>
      </c>
    </row>
    <row r="14" spans="1:8">
      <c r="A14" s="119">
        <v>1</v>
      </c>
      <c r="B14" s="122" t="str">
        <f>"Dec-"&amp;RIGHT(Automation!$B$3-1,2)</f>
        <v>Dec-23</v>
      </c>
      <c r="C14" s="199">
        <v>2056225.609540567</v>
      </c>
      <c r="D14" s="1234" t="s">
        <v>215</v>
      </c>
      <c r="E14" s="199">
        <v>2022634.589255455</v>
      </c>
      <c r="F14" s="1234" t="str">
        <f>Automation!B3-1&amp;" Form 1; Page 200-201; Footnote Data (b)"</f>
        <v>2023 Form 1; Page 200-201; Footnote Data (b)</v>
      </c>
      <c r="G14" s="119">
        <f>A14</f>
        <v>1</v>
      </c>
      <c r="H14" s="126"/>
    </row>
    <row r="15" spans="1:8">
      <c r="A15" s="119">
        <f>A14+1</f>
        <v>2</v>
      </c>
      <c r="B15" s="122" t="str">
        <f>"Jan-"&amp;RIGHT(Automation!$B$3,2)</f>
        <v>Jan-24</v>
      </c>
      <c r="C15" s="149">
        <v>2073840.0782028963</v>
      </c>
      <c r="D15" s="1250"/>
      <c r="E15" s="1258">
        <v>2039409.87563723</v>
      </c>
      <c r="F15" s="1250"/>
      <c r="G15" s="119">
        <f>G14+1</f>
        <v>2</v>
      </c>
    </row>
    <row r="16" spans="1:8">
      <c r="A16" s="119">
        <f t="shared" ref="A16:A36" si="0">A15+1</f>
        <v>3</v>
      </c>
      <c r="B16" s="122" t="s">
        <v>216</v>
      </c>
      <c r="C16" s="149">
        <v>2093884.772367114</v>
      </c>
      <c r="D16" s="1250"/>
      <c r="E16" s="1258">
        <v>2059783.679735803</v>
      </c>
      <c r="F16" s="1250"/>
      <c r="G16" s="119">
        <f t="shared" ref="G16:G36" si="1">G15+1</f>
        <v>3</v>
      </c>
    </row>
    <row r="17" spans="1:8">
      <c r="A17" s="119">
        <f t="shared" si="0"/>
        <v>4</v>
      </c>
      <c r="B17" s="122" t="s">
        <v>217</v>
      </c>
      <c r="C17" s="149">
        <v>2111579.3141827444</v>
      </c>
      <c r="D17" s="1250"/>
      <c r="E17" s="1258">
        <v>2077180.9949748183</v>
      </c>
      <c r="F17" s="1250"/>
      <c r="G17" s="119">
        <f t="shared" si="1"/>
        <v>4</v>
      </c>
    </row>
    <row r="18" spans="1:8">
      <c r="A18" s="119">
        <f t="shared" si="0"/>
        <v>5</v>
      </c>
      <c r="B18" s="122" t="s">
        <v>218</v>
      </c>
      <c r="C18" s="149">
        <v>2129471.9817159926</v>
      </c>
      <c r="D18" s="1250"/>
      <c r="E18" s="1258">
        <v>2094033.1910039983</v>
      </c>
      <c r="F18" s="1250"/>
      <c r="G18" s="119">
        <f t="shared" si="1"/>
        <v>5</v>
      </c>
      <c r="H18" s="210"/>
    </row>
    <row r="19" spans="1:8">
      <c r="A19" s="119">
        <f t="shared" si="0"/>
        <v>6</v>
      </c>
      <c r="B19" s="122" t="s">
        <v>160</v>
      </c>
      <c r="C19" s="149">
        <v>2145563.2801319268</v>
      </c>
      <c r="D19" s="1250"/>
      <c r="E19" s="1258">
        <v>2109738.0800851798</v>
      </c>
      <c r="F19" s="1250"/>
      <c r="G19" s="119">
        <f t="shared" si="1"/>
        <v>6</v>
      </c>
    </row>
    <row r="20" spans="1:8">
      <c r="A20" s="119">
        <f>A19+1</f>
        <v>7</v>
      </c>
      <c r="B20" s="122" t="s">
        <v>219</v>
      </c>
      <c r="C20" s="149">
        <v>2163696.5453733094</v>
      </c>
      <c r="D20" s="1250"/>
      <c r="E20" s="1258">
        <v>2127607.2230678303</v>
      </c>
      <c r="F20" s="1250"/>
      <c r="G20" s="119">
        <f>G19+1</f>
        <v>7</v>
      </c>
    </row>
    <row r="21" spans="1:8">
      <c r="A21" s="119">
        <f t="shared" si="0"/>
        <v>8</v>
      </c>
      <c r="B21" s="122" t="s">
        <v>220</v>
      </c>
      <c r="C21" s="149">
        <v>2181351.3254408161</v>
      </c>
      <c r="D21" s="1250"/>
      <c r="E21" s="1258">
        <v>2144993.2332386626</v>
      </c>
      <c r="F21" s="1250"/>
      <c r="G21" s="119">
        <f t="shared" si="1"/>
        <v>8</v>
      </c>
    </row>
    <row r="22" spans="1:8">
      <c r="A22" s="119">
        <f t="shared" si="0"/>
        <v>9</v>
      </c>
      <c r="B22" s="122" t="s">
        <v>221</v>
      </c>
      <c r="C22" s="149">
        <v>2200952.2453661528</v>
      </c>
      <c r="D22" s="1250"/>
      <c r="E22" s="1258">
        <v>2164236.8710140302</v>
      </c>
      <c r="F22" s="1250"/>
      <c r="G22" s="119">
        <f t="shared" si="1"/>
        <v>9</v>
      </c>
    </row>
    <row r="23" spans="1:8">
      <c r="A23" s="119">
        <f t="shared" si="0"/>
        <v>10</v>
      </c>
      <c r="B23" s="122" t="s">
        <v>222</v>
      </c>
      <c r="C23" s="149">
        <v>2218376.4078409993</v>
      </c>
      <c r="D23" s="1250"/>
      <c r="E23" s="1258">
        <v>2181375.5093397009</v>
      </c>
      <c r="F23" s="1250"/>
      <c r="G23" s="119">
        <f t="shared" si="1"/>
        <v>10</v>
      </c>
    </row>
    <row r="24" spans="1:8">
      <c r="A24" s="119">
        <f t="shared" si="0"/>
        <v>11</v>
      </c>
      <c r="B24" s="122" t="s">
        <v>223</v>
      </c>
      <c r="C24" s="149">
        <v>2236896.1829476599</v>
      </c>
      <c r="D24" s="1250"/>
      <c r="E24" s="1258">
        <v>2199580.1656062794</v>
      </c>
      <c r="F24" s="1250"/>
      <c r="G24" s="119">
        <f t="shared" si="1"/>
        <v>11</v>
      </c>
    </row>
    <row r="25" spans="1:8">
      <c r="A25" s="119">
        <f t="shared" si="0"/>
        <v>12</v>
      </c>
      <c r="B25" s="122" t="s">
        <v>224</v>
      </c>
      <c r="C25" s="149">
        <v>2256337.7802331634</v>
      </c>
      <c r="D25" s="1250"/>
      <c r="E25" s="1258">
        <v>2218681.3670703797</v>
      </c>
      <c r="F25" s="1250"/>
      <c r="G25" s="119">
        <f t="shared" si="1"/>
        <v>12</v>
      </c>
    </row>
    <row r="26" spans="1:8">
      <c r="A26" s="119">
        <f t="shared" si="0"/>
        <v>13</v>
      </c>
      <c r="B26" s="1029" t="str">
        <f>"Dec-"&amp;RIGHT(Automation!$B$3,2)</f>
        <v>Dec-24</v>
      </c>
      <c r="C26" s="1117">
        <v>2275156.2541863532</v>
      </c>
      <c r="D26" s="1251" t="s">
        <v>215</v>
      </c>
      <c r="E26" s="1135">
        <v>2237105.4151017959</v>
      </c>
      <c r="F26" s="1234" t="str">
        <f>Automation!B3&amp;" Form 1; Page 200-201; Footnote Data (b)"</f>
        <v>2024 Form 1; Page 200-201; Footnote Data (b)</v>
      </c>
      <c r="G26" s="119">
        <f t="shared" si="1"/>
        <v>13</v>
      </c>
      <c r="H26" s="126"/>
    </row>
    <row r="27" spans="1:8">
      <c r="A27" s="119">
        <f t="shared" si="0"/>
        <v>14</v>
      </c>
      <c r="B27" s="130"/>
      <c r="C27" s="1255"/>
      <c r="D27" s="924"/>
      <c r="E27" s="148"/>
      <c r="F27" s="924"/>
      <c r="G27" s="119">
        <f t="shared" si="1"/>
        <v>14</v>
      </c>
    </row>
    <row r="28" spans="1:8">
      <c r="A28" s="119">
        <f t="shared" si="0"/>
        <v>15</v>
      </c>
      <c r="B28" s="130" t="s">
        <v>225</v>
      </c>
      <c r="C28" s="206">
        <f>SUM(C14:C26)</f>
        <v>28143331.777529698</v>
      </c>
      <c r="D28" s="203" t="str">
        <f>"Sum Lines "&amp;A14&amp;" thru "&amp;A26</f>
        <v>Sum Lines 1 thru 13</v>
      </c>
      <c r="E28" s="202">
        <f>SUM(E14:E26)</f>
        <v>27676360.195131164</v>
      </c>
      <c r="F28" s="203" t="str">
        <f>"Sum Lines "&amp;A14&amp;" thru "&amp;A26</f>
        <v>Sum Lines 1 thru 13</v>
      </c>
      <c r="G28" s="119">
        <f t="shared" si="1"/>
        <v>15</v>
      </c>
    </row>
    <row r="29" spans="1:8">
      <c r="A29" s="119">
        <f t="shared" si="0"/>
        <v>16</v>
      </c>
      <c r="B29" s="1013"/>
      <c r="C29" s="1134"/>
      <c r="D29" s="1253"/>
      <c r="E29" s="1038"/>
      <c r="F29" s="1253"/>
      <c r="G29" s="119">
        <f t="shared" si="1"/>
        <v>16</v>
      </c>
    </row>
    <row r="30" spans="1:8">
      <c r="A30" s="119">
        <f t="shared" si="0"/>
        <v>17</v>
      </c>
      <c r="B30" s="130"/>
      <c r="C30" s="1257"/>
      <c r="D30" s="1254"/>
      <c r="E30" s="1257"/>
      <c r="F30" s="1254"/>
      <c r="G30" s="119">
        <f t="shared" si="1"/>
        <v>17</v>
      </c>
    </row>
    <row r="31" spans="1:8">
      <c r="A31" s="119">
        <f t="shared" si="0"/>
        <v>18</v>
      </c>
      <c r="B31" s="130" t="s">
        <v>226</v>
      </c>
      <c r="C31" s="206">
        <f>C28/13</f>
        <v>2164871.6751945922</v>
      </c>
      <c r="D31" s="203" t="str">
        <f>"Average of Lines "&amp;A14&amp;" thru "&amp;A26</f>
        <v>Average of Lines 1 thru 13</v>
      </c>
      <c r="E31" s="202">
        <f>E28/13</f>
        <v>2128950.7842408586</v>
      </c>
      <c r="F31" s="1234" t="str">
        <f>Automation!B3&amp;" Form 1; Page 200-201; Footnote Data (b)"</f>
        <v>2024 Form 1; Page 200-201; Footnote Data (b)</v>
      </c>
      <c r="G31" s="119">
        <f t="shared" si="1"/>
        <v>18</v>
      </c>
      <c r="H31" s="126"/>
    </row>
    <row r="32" spans="1:8">
      <c r="A32" s="119">
        <f t="shared" si="0"/>
        <v>19</v>
      </c>
      <c r="B32" s="1013"/>
      <c r="C32" s="1256"/>
      <c r="D32" s="1113"/>
      <c r="E32" s="1256"/>
      <c r="F32" s="1113"/>
      <c r="G32" s="119">
        <f t="shared" si="1"/>
        <v>19</v>
      </c>
    </row>
    <row r="33" spans="1:7">
      <c r="A33" s="119">
        <f t="shared" si="0"/>
        <v>20</v>
      </c>
      <c r="B33" s="136"/>
      <c r="C33" s="136"/>
      <c r="D33" s="136"/>
      <c r="E33" s="136"/>
      <c r="F33" s="136"/>
      <c r="G33" s="119">
        <f t="shared" si="1"/>
        <v>20</v>
      </c>
    </row>
    <row r="34" spans="1:7">
      <c r="A34" s="119">
        <f t="shared" si="0"/>
        <v>21</v>
      </c>
      <c r="B34" s="136" t="s">
        <v>313</v>
      </c>
      <c r="C34" s="136"/>
      <c r="D34" s="136"/>
      <c r="E34" s="1125">
        <f>'AE-1A'!E31</f>
        <v>4698.950230769231</v>
      </c>
      <c r="F34" s="119" t="str">
        <f>"AE-1A; Line "&amp;'AE-1A'!A31</f>
        <v>AE-1A; Line 18</v>
      </c>
      <c r="G34" s="119">
        <f t="shared" si="1"/>
        <v>21</v>
      </c>
    </row>
    <row r="35" spans="1:7">
      <c r="A35" s="119">
        <f t="shared" si="0"/>
        <v>22</v>
      </c>
      <c r="B35" s="136"/>
      <c r="C35" s="136"/>
      <c r="D35" s="136"/>
      <c r="E35" s="136"/>
      <c r="F35" s="136"/>
      <c r="G35" s="119">
        <f t="shared" si="1"/>
        <v>22</v>
      </c>
    </row>
    <row r="36" spans="1:7" ht="16.5" thickBot="1">
      <c r="A36" s="119">
        <f t="shared" si="0"/>
        <v>23</v>
      </c>
      <c r="B36" s="110" t="s">
        <v>314</v>
      </c>
      <c r="C36" s="136"/>
      <c r="D36" s="136"/>
      <c r="E36" s="322">
        <f>E31+E34</f>
        <v>2133649.734471628</v>
      </c>
      <c r="F36" s="119" t="str">
        <f>"Line "&amp;A31&amp;" + Line "&amp;A34</f>
        <v>Line 18 + Line 21</v>
      </c>
      <c r="G36" s="119">
        <f t="shared" si="1"/>
        <v>23</v>
      </c>
    </row>
    <row r="37" spans="1:7" ht="16.5" thickTop="1">
      <c r="A37" s="119"/>
      <c r="C37" s="136"/>
      <c r="D37" s="136"/>
      <c r="E37" s="136"/>
      <c r="F37" s="136"/>
    </row>
    <row r="38" spans="1:7">
      <c r="C38" s="136"/>
      <c r="D38" s="136"/>
      <c r="E38" s="159"/>
      <c r="F38" s="136"/>
    </row>
    <row r="39" spans="1:7" ht="18.75">
      <c r="A39" s="135">
        <v>1</v>
      </c>
      <c r="B39" s="136" t="s">
        <v>315</v>
      </c>
      <c r="C39" s="136"/>
      <c r="D39" s="136"/>
      <c r="E39" s="136"/>
      <c r="F39" s="136"/>
    </row>
    <row r="40" spans="1:7">
      <c r="B40" s="136" t="s">
        <v>316</v>
      </c>
      <c r="C40" s="136"/>
      <c r="D40" s="136"/>
      <c r="E40" s="136"/>
      <c r="F40" s="136"/>
    </row>
    <row r="41" spans="1:7">
      <c r="B41" s="136"/>
      <c r="C41" s="136"/>
      <c r="D41" s="136"/>
      <c r="E41" s="136"/>
      <c r="F41" s="136"/>
    </row>
    <row r="44" spans="1:7">
      <c r="A44" s="1086"/>
    </row>
    <row r="47" spans="1:7">
      <c r="A47" s="1086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2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I47"/>
  <sheetViews>
    <sheetView zoomScale="80" zoomScaleNormal="80" workbookViewId="0">
      <selection activeCell="D39" sqref="D39"/>
    </sheetView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25.140625" style="115" customWidth="1"/>
    <col min="5" max="5" width="18.5703125" style="110" customWidth="1"/>
    <col min="6" max="6" width="62.570312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42578125" style="110" customWidth="1"/>
    <col min="14" max="16384" width="9.140625" style="110"/>
  </cols>
  <sheetData>
    <row r="2" spans="1:9">
      <c r="B2" s="1287" t="s">
        <v>0</v>
      </c>
      <c r="C2" s="1287"/>
      <c r="D2" s="1287"/>
      <c r="E2" s="1287"/>
      <c r="F2" s="1287"/>
    </row>
    <row r="3" spans="1:9">
      <c r="B3" s="1287" t="s">
        <v>310</v>
      </c>
      <c r="C3" s="1287"/>
      <c r="D3" s="1287"/>
      <c r="E3" s="1287"/>
      <c r="F3" s="1287"/>
    </row>
    <row r="4" spans="1:9">
      <c r="B4" s="1287" t="s">
        <v>311</v>
      </c>
      <c r="C4" s="1287"/>
      <c r="D4" s="1287"/>
      <c r="E4" s="1287"/>
      <c r="F4" s="1287"/>
    </row>
    <row r="5" spans="1:9">
      <c r="B5" s="1287" t="str">
        <f>"BASE PERIOD / TRUE UP PERIOD - 12/31/"&amp;Automation!$B$3&amp;" PER BOOK"</f>
        <v>BASE PERIOD / TRUE UP PERIOD - 12/31/2024 PER BOOK</v>
      </c>
      <c r="C5" s="1287"/>
      <c r="D5" s="1287"/>
      <c r="E5" s="1287"/>
      <c r="F5" s="1287"/>
    </row>
    <row r="6" spans="1:9">
      <c r="B6" s="1291" t="s">
        <v>3</v>
      </c>
      <c r="C6" s="1291"/>
      <c r="D6" s="1291"/>
      <c r="E6" s="1291"/>
      <c r="F6" s="1291"/>
    </row>
    <row r="7" spans="1:9">
      <c r="B7" s="111"/>
      <c r="C7" s="112"/>
      <c r="D7" s="113"/>
      <c r="E7" s="111"/>
      <c r="F7" s="111"/>
    </row>
    <row r="8" spans="1:9">
      <c r="B8" s="1287" t="s">
        <v>239</v>
      </c>
      <c r="C8" s="1287"/>
      <c r="D8" s="1287"/>
      <c r="E8" s="1287"/>
      <c r="F8" s="1287"/>
    </row>
    <row r="10" spans="1:9">
      <c r="B10" s="857"/>
      <c r="C10" s="858" t="s">
        <v>80</v>
      </c>
      <c r="D10" s="859"/>
      <c r="E10" s="858"/>
      <c r="F10" s="859"/>
    </row>
    <row r="11" spans="1:9">
      <c r="B11" s="116"/>
      <c r="C11" s="109" t="s">
        <v>240</v>
      </c>
      <c r="D11" s="116"/>
      <c r="E11" s="117" t="s">
        <v>240</v>
      </c>
      <c r="F11" s="118"/>
    </row>
    <row r="12" spans="1:9">
      <c r="A12" s="119" t="s">
        <v>4</v>
      </c>
      <c r="B12" s="120"/>
      <c r="C12" s="109" t="s">
        <v>312</v>
      </c>
      <c r="D12" s="116"/>
      <c r="E12" s="121" t="s">
        <v>312</v>
      </c>
      <c r="F12" s="118"/>
      <c r="G12" s="119" t="s">
        <v>4</v>
      </c>
    </row>
    <row r="13" spans="1:9" ht="18.75">
      <c r="A13" s="119" t="s">
        <v>5</v>
      </c>
      <c r="B13" s="1012" t="s">
        <v>123</v>
      </c>
      <c r="C13" s="1109" t="s">
        <v>213</v>
      </c>
      <c r="D13" s="1012" t="s">
        <v>8</v>
      </c>
      <c r="E13" s="1110" t="s">
        <v>214</v>
      </c>
      <c r="F13" s="1012" t="s">
        <v>8</v>
      </c>
      <c r="G13" s="119" t="s">
        <v>5</v>
      </c>
    </row>
    <row r="14" spans="1:9">
      <c r="A14" s="119">
        <v>1</v>
      </c>
      <c r="B14" s="122" t="str">
        <f>"Dec-"&amp;RIGHT(Automation!$B$3-1,2)</f>
        <v>Dec-23</v>
      </c>
      <c r="C14" s="209">
        <v>4205.9989999999998</v>
      </c>
      <c r="D14" s="157" t="s">
        <v>215</v>
      </c>
      <c r="E14" s="209">
        <f>C14</f>
        <v>4205.9989999999998</v>
      </c>
      <c r="F14" s="157" t="s">
        <v>215</v>
      </c>
      <c r="G14" s="119">
        <f>A14</f>
        <v>1</v>
      </c>
      <c r="H14" s="126"/>
      <c r="I14" s="126"/>
    </row>
    <row r="15" spans="1:9">
      <c r="A15" s="119">
        <f>A14+1</f>
        <v>2</v>
      </c>
      <c r="B15" s="122" t="str">
        <f>"Jan-"&amp;RIGHT(Automation!$B$3,2)</f>
        <v>Jan-24</v>
      </c>
      <c r="C15" s="127">
        <v>4288.1580000000004</v>
      </c>
      <c r="D15" s="128"/>
      <c r="E15" s="127">
        <f t="shared" ref="E15:E26" si="0">C15</f>
        <v>4288.1580000000004</v>
      </c>
      <c r="F15" s="128"/>
      <c r="G15" s="119">
        <f>G14+1</f>
        <v>2</v>
      </c>
    </row>
    <row r="16" spans="1:9">
      <c r="A16" s="119">
        <f t="shared" ref="A16:A32" si="1">A15+1</f>
        <v>3</v>
      </c>
      <c r="B16" s="122" t="s">
        <v>216</v>
      </c>
      <c r="C16" s="127">
        <v>4370.3159999999998</v>
      </c>
      <c r="D16" s="128"/>
      <c r="E16" s="127">
        <f t="shared" si="0"/>
        <v>4370.3159999999998</v>
      </c>
      <c r="F16" s="128"/>
      <c r="G16" s="119">
        <f t="shared" ref="G16:G32" si="2">G15+1</f>
        <v>3</v>
      </c>
    </row>
    <row r="17" spans="1:9">
      <c r="A17" s="119">
        <f t="shared" si="1"/>
        <v>4</v>
      </c>
      <c r="B17" s="122" t="s">
        <v>217</v>
      </c>
      <c r="C17" s="127">
        <v>4452.4750000000004</v>
      </c>
      <c r="D17" s="128"/>
      <c r="E17" s="127">
        <f t="shared" si="0"/>
        <v>4452.4750000000004</v>
      </c>
      <c r="F17" s="128"/>
      <c r="G17" s="119">
        <f t="shared" si="2"/>
        <v>4</v>
      </c>
    </row>
    <row r="18" spans="1:9">
      <c r="A18" s="119">
        <f t="shared" si="1"/>
        <v>5</v>
      </c>
      <c r="B18" s="122" t="s">
        <v>218</v>
      </c>
      <c r="C18" s="127">
        <v>4534.6329999999998</v>
      </c>
      <c r="D18" s="128"/>
      <c r="E18" s="127">
        <f t="shared" si="0"/>
        <v>4534.6329999999998</v>
      </c>
      <c r="F18" s="128"/>
      <c r="G18" s="119">
        <f t="shared" si="2"/>
        <v>5</v>
      </c>
    </row>
    <row r="19" spans="1:9">
      <c r="A19" s="119">
        <f t="shared" si="1"/>
        <v>6</v>
      </c>
      <c r="B19" s="122" t="s">
        <v>160</v>
      </c>
      <c r="C19" s="127">
        <v>4616.7920000000004</v>
      </c>
      <c r="D19" s="128"/>
      <c r="E19" s="127">
        <f t="shared" si="0"/>
        <v>4616.7920000000004</v>
      </c>
      <c r="F19" s="128"/>
      <c r="G19" s="119">
        <f t="shared" si="2"/>
        <v>6</v>
      </c>
    </row>
    <row r="20" spans="1:9">
      <c r="A20" s="119">
        <f>A19+1</f>
        <v>7</v>
      </c>
      <c r="B20" s="122" t="s">
        <v>219</v>
      </c>
      <c r="C20" s="127">
        <v>4698.95</v>
      </c>
      <c r="D20" s="128"/>
      <c r="E20" s="127">
        <f t="shared" si="0"/>
        <v>4698.95</v>
      </c>
      <c r="F20" s="128"/>
      <c r="G20" s="119">
        <f>G19+1</f>
        <v>7</v>
      </c>
    </row>
    <row r="21" spans="1:9">
      <c r="A21" s="119">
        <f t="shared" si="1"/>
        <v>8</v>
      </c>
      <c r="B21" s="122" t="s">
        <v>220</v>
      </c>
      <c r="C21" s="127">
        <v>4781.1090000000004</v>
      </c>
      <c r="D21" s="128"/>
      <c r="E21" s="127">
        <f t="shared" si="0"/>
        <v>4781.1090000000004</v>
      </c>
      <c r="F21" s="128"/>
      <c r="G21" s="119">
        <f t="shared" si="2"/>
        <v>8</v>
      </c>
    </row>
    <row r="22" spans="1:9">
      <c r="A22" s="119">
        <f t="shared" si="1"/>
        <v>9</v>
      </c>
      <c r="B22" s="122" t="s">
        <v>221</v>
      </c>
      <c r="C22" s="127">
        <v>4863.2669999999998</v>
      </c>
      <c r="D22" s="128"/>
      <c r="E22" s="127">
        <f t="shared" si="0"/>
        <v>4863.2669999999998</v>
      </c>
      <c r="F22" s="128"/>
      <c r="G22" s="119">
        <f t="shared" si="2"/>
        <v>9</v>
      </c>
    </row>
    <row r="23" spans="1:9">
      <c r="A23" s="119">
        <f t="shared" si="1"/>
        <v>10</v>
      </c>
      <c r="B23" s="122" t="s">
        <v>222</v>
      </c>
      <c r="C23" s="127">
        <v>4945.4260000000004</v>
      </c>
      <c r="D23" s="128"/>
      <c r="E23" s="127">
        <f t="shared" si="0"/>
        <v>4945.4260000000004</v>
      </c>
      <c r="F23" s="128"/>
      <c r="G23" s="119">
        <f t="shared" si="2"/>
        <v>10</v>
      </c>
    </row>
    <row r="24" spans="1:9">
      <c r="A24" s="119">
        <f t="shared" si="1"/>
        <v>11</v>
      </c>
      <c r="B24" s="122" t="s">
        <v>223</v>
      </c>
      <c r="C24" s="127">
        <v>5027.5839999999998</v>
      </c>
      <c r="D24" s="128"/>
      <c r="E24" s="127">
        <f t="shared" si="0"/>
        <v>5027.5839999999998</v>
      </c>
      <c r="F24" s="128"/>
      <c r="G24" s="119">
        <f t="shared" si="2"/>
        <v>11</v>
      </c>
    </row>
    <row r="25" spans="1:9">
      <c r="A25" s="119">
        <f t="shared" si="1"/>
        <v>12</v>
      </c>
      <c r="B25" s="122" t="s">
        <v>224</v>
      </c>
      <c r="C25" s="127">
        <v>5109.7430000000004</v>
      </c>
      <c r="D25" s="128"/>
      <c r="E25" s="127">
        <f t="shared" si="0"/>
        <v>5109.7430000000004</v>
      </c>
      <c r="F25" s="128"/>
      <c r="G25" s="119">
        <f t="shared" si="2"/>
        <v>12</v>
      </c>
    </row>
    <row r="26" spans="1:9">
      <c r="A26" s="119">
        <f t="shared" si="1"/>
        <v>13</v>
      </c>
      <c r="B26" s="1029" t="str">
        <f>"Dec-"&amp;RIGHT(Automation!$B$3,2)</f>
        <v>Dec-24</v>
      </c>
      <c r="C26" s="1117">
        <v>5191.9009999999998</v>
      </c>
      <c r="D26" s="1018" t="s">
        <v>215</v>
      </c>
      <c r="E26" s="1117">
        <f t="shared" si="0"/>
        <v>5191.9009999999998</v>
      </c>
      <c r="F26" s="1018" t="s">
        <v>215</v>
      </c>
      <c r="G26" s="119">
        <f t="shared" si="2"/>
        <v>13</v>
      </c>
      <c r="I26" s="126"/>
    </row>
    <row r="27" spans="1:9">
      <c r="A27" s="119">
        <f t="shared" si="1"/>
        <v>14</v>
      </c>
      <c r="B27" s="130"/>
      <c r="C27" s="924"/>
      <c r="D27" s="857"/>
      <c r="E27" s="131"/>
      <c r="F27" s="857"/>
      <c r="G27" s="119">
        <f t="shared" si="2"/>
        <v>14</v>
      </c>
    </row>
    <row r="28" spans="1:9">
      <c r="A28" s="119">
        <f t="shared" si="1"/>
        <v>15</v>
      </c>
      <c r="B28" s="130" t="s">
        <v>225</v>
      </c>
      <c r="C28" s="132">
        <f>SUM(C14:C26)</f>
        <v>61086.353000000003</v>
      </c>
      <c r="D28" s="207" t="str">
        <f>"Sum Lines "&amp;A14&amp;" thru "&amp;A26</f>
        <v>Sum Lines 1 thru 13</v>
      </c>
      <c r="E28" s="132">
        <f>SUM(E14:E26)</f>
        <v>61086.353000000003</v>
      </c>
      <c r="F28" s="158" t="str">
        <f>"Sum Lines "&amp;A14&amp;" thru "&amp;A26</f>
        <v>Sum Lines 1 thru 13</v>
      </c>
      <c r="G28" s="119">
        <f t="shared" si="2"/>
        <v>15</v>
      </c>
    </row>
    <row r="29" spans="1:9">
      <c r="A29" s="119">
        <f t="shared" si="1"/>
        <v>16</v>
      </c>
      <c r="B29" s="1013"/>
      <c r="C29" s="1112"/>
      <c r="D29" s="1124"/>
      <c r="E29" s="1112"/>
      <c r="F29" s="1013"/>
      <c r="G29" s="119">
        <f t="shared" si="2"/>
        <v>16</v>
      </c>
    </row>
    <row r="30" spans="1:9">
      <c r="A30" s="119">
        <f t="shared" si="1"/>
        <v>17</v>
      </c>
      <c r="B30" s="130"/>
      <c r="C30" s="132"/>
      <c r="D30" s="211"/>
      <c r="E30" s="132"/>
      <c r="F30" s="130"/>
      <c r="G30" s="119">
        <f t="shared" si="2"/>
        <v>17</v>
      </c>
    </row>
    <row r="31" spans="1:9">
      <c r="A31" s="119">
        <f t="shared" si="1"/>
        <v>18</v>
      </c>
      <c r="B31" s="130" t="s">
        <v>226</v>
      </c>
      <c r="C31" s="132">
        <f>C28/13</f>
        <v>4698.950230769231</v>
      </c>
      <c r="D31" s="207" t="str">
        <f>"Average of Lines "&amp;A14&amp;" thru "&amp;A26</f>
        <v>Average of Lines 1 thru 13</v>
      </c>
      <c r="E31" s="132">
        <f>E28/13</f>
        <v>4698.950230769231</v>
      </c>
      <c r="F31" s="158" t="str">
        <f>"Average of Lines "&amp;A14&amp;" thru "&amp;A26</f>
        <v>Average of Lines 1 thru 13</v>
      </c>
      <c r="G31" s="119">
        <f t="shared" si="2"/>
        <v>18</v>
      </c>
      <c r="H31" s="126"/>
      <c r="I31" s="126"/>
    </row>
    <row r="32" spans="1:9">
      <c r="A32" s="119">
        <f t="shared" si="1"/>
        <v>19</v>
      </c>
      <c r="B32" s="1013"/>
      <c r="C32" s="1113"/>
      <c r="D32" s="1013"/>
      <c r="E32" s="1113"/>
      <c r="F32" s="1013"/>
      <c r="G32" s="119">
        <f t="shared" si="2"/>
        <v>19</v>
      </c>
    </row>
    <row r="33" spans="1:5">
      <c r="A33" s="119"/>
      <c r="C33" s="134"/>
      <c r="D33" s="110"/>
      <c r="E33" s="134"/>
    </row>
    <row r="34" spans="1:5">
      <c r="C34" s="134"/>
      <c r="D34" s="110"/>
      <c r="E34" s="134"/>
    </row>
    <row r="35" spans="1:5" ht="18.75">
      <c r="A35" s="135">
        <v>1</v>
      </c>
      <c r="B35" s="136" t="s">
        <v>317</v>
      </c>
      <c r="C35" s="134"/>
      <c r="D35" s="110"/>
      <c r="E35" s="134"/>
    </row>
    <row r="36" spans="1:5">
      <c r="B36" s="136"/>
      <c r="C36" s="134"/>
      <c r="D36" s="110"/>
      <c r="E36" s="134"/>
    </row>
    <row r="37" spans="1:5">
      <c r="C37" s="134"/>
      <c r="D37" s="110"/>
      <c r="E37" s="134"/>
    </row>
    <row r="38" spans="1:5">
      <c r="C38" s="134"/>
      <c r="D38" s="110"/>
      <c r="E38" s="134"/>
    </row>
    <row r="39" spans="1:5">
      <c r="C39" s="137"/>
      <c r="E39" s="134"/>
    </row>
    <row r="40" spans="1:5">
      <c r="C40" s="137"/>
      <c r="E40" s="134"/>
    </row>
    <row r="41" spans="1:5">
      <c r="C41" s="137"/>
      <c r="E41" s="134"/>
    </row>
    <row r="42" spans="1:5">
      <c r="C42" s="137"/>
      <c r="E42" s="134"/>
    </row>
    <row r="43" spans="1:5">
      <c r="C43" s="137"/>
      <c r="E43" s="134"/>
    </row>
    <row r="44" spans="1:5">
      <c r="C44" s="137"/>
      <c r="E44" s="134"/>
    </row>
    <row r="45" spans="1:5">
      <c r="C45" s="137"/>
      <c r="E45" s="134"/>
    </row>
    <row r="46" spans="1:5">
      <c r="C46" s="137"/>
      <c r="E46" s="134"/>
    </row>
    <row r="47" spans="1:5">
      <c r="C47" s="137"/>
      <c r="E47" s="134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O171"/>
  <sheetViews>
    <sheetView zoomScale="80" zoomScaleNormal="80" workbookViewId="0">
      <selection activeCell="I43" sqref="I43"/>
    </sheetView>
  </sheetViews>
  <sheetFormatPr defaultColWidth="9.140625" defaultRowHeight="15.75"/>
  <cols>
    <col min="1" max="1" width="5.140625" style="119" customWidth="1"/>
    <col min="2" max="2" width="11.140625" style="136" customWidth="1"/>
    <col min="3" max="3" width="32.5703125" style="136" customWidth="1"/>
    <col min="4" max="11" width="18.5703125" style="189" customWidth="1"/>
    <col min="12" max="12" width="24" style="189" customWidth="1"/>
    <col min="13" max="13" width="5.140625" style="119" customWidth="1"/>
    <col min="14" max="16384" width="9.140625" style="136"/>
  </cols>
  <sheetData>
    <row r="2" spans="1:13" s="110" customFormat="1">
      <c r="A2" s="109"/>
      <c r="B2" s="1287" t="s">
        <v>0</v>
      </c>
      <c r="C2" s="1287"/>
      <c r="D2" s="1287"/>
      <c r="E2" s="1287"/>
      <c r="F2" s="1287"/>
      <c r="G2" s="1287"/>
      <c r="H2" s="1287"/>
      <c r="I2" s="1287"/>
      <c r="J2" s="1287"/>
      <c r="K2" s="1287"/>
      <c r="L2" s="1287"/>
      <c r="M2" s="109"/>
    </row>
    <row r="3" spans="1:13" s="110" customFormat="1">
      <c r="A3" s="109"/>
      <c r="B3" s="1287" t="s">
        <v>246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09"/>
    </row>
    <row r="4" spans="1:13">
      <c r="B4" s="1287" t="s">
        <v>318</v>
      </c>
      <c r="C4" s="1287"/>
      <c r="D4" s="1287"/>
      <c r="E4" s="1287"/>
      <c r="F4" s="1287"/>
      <c r="G4" s="1287"/>
      <c r="H4" s="1287"/>
      <c r="I4" s="1287"/>
      <c r="J4" s="1287"/>
      <c r="K4" s="1287"/>
      <c r="L4" s="1287"/>
    </row>
    <row r="5" spans="1:13">
      <c r="B5" s="1287" t="s">
        <v>311</v>
      </c>
      <c r="C5" s="1287"/>
      <c r="D5" s="1287"/>
      <c r="E5" s="1287"/>
      <c r="F5" s="1287"/>
      <c r="G5" s="1287"/>
      <c r="H5" s="1287"/>
      <c r="I5" s="1287"/>
      <c r="J5" s="1287"/>
      <c r="K5" s="1287"/>
      <c r="L5" s="1287"/>
    </row>
    <row r="6" spans="1:13">
      <c r="B6" s="1287" t="str">
        <f>"BALANCES AS OF 12/31/"&amp;Automation!$B$3-1</f>
        <v>BALANCES AS OF 12/31/2023</v>
      </c>
      <c r="C6" s="1287"/>
      <c r="D6" s="1287"/>
      <c r="E6" s="1287"/>
      <c r="F6" s="1287"/>
      <c r="G6" s="1287"/>
      <c r="H6" s="1287"/>
      <c r="I6" s="1287"/>
      <c r="J6" s="1287"/>
      <c r="K6" s="1287"/>
      <c r="L6" s="1287"/>
    </row>
    <row r="7" spans="1:13">
      <c r="B7" s="1291" t="s">
        <v>3</v>
      </c>
      <c r="C7" s="1287"/>
      <c r="D7" s="1287"/>
      <c r="E7" s="1287"/>
      <c r="F7" s="1287"/>
      <c r="G7" s="1287"/>
      <c r="H7" s="1287"/>
      <c r="I7" s="1287"/>
      <c r="J7" s="1287"/>
      <c r="K7" s="1287"/>
      <c r="L7" s="1287"/>
    </row>
    <row r="8" spans="1:13">
      <c r="C8" s="111"/>
      <c r="D8" s="112"/>
      <c r="E8" s="165"/>
      <c r="F8" s="165"/>
      <c r="G8" s="165"/>
      <c r="H8" s="165"/>
      <c r="I8" s="165"/>
      <c r="J8" s="165"/>
      <c r="K8" s="165"/>
      <c r="L8" s="165"/>
    </row>
    <row r="9" spans="1:13" s="109" customFormat="1">
      <c r="B9" s="964"/>
      <c r="C9" s="955"/>
      <c r="D9" s="956" t="s">
        <v>248</v>
      </c>
      <c r="E9" s="957" t="s">
        <v>249</v>
      </c>
      <c r="F9" s="957" t="s">
        <v>250</v>
      </c>
      <c r="G9" s="957" t="s">
        <v>251</v>
      </c>
      <c r="H9" s="957" t="s">
        <v>252</v>
      </c>
      <c r="I9" s="957" t="s">
        <v>253</v>
      </c>
      <c r="J9" s="957" t="s">
        <v>254</v>
      </c>
      <c r="K9" s="967" t="s">
        <v>255</v>
      </c>
      <c r="L9" s="859"/>
    </row>
    <row r="10" spans="1:13">
      <c r="B10" s="212"/>
      <c r="C10" s="118"/>
      <c r="D10" s="167"/>
      <c r="E10" s="168"/>
      <c r="F10" s="213"/>
      <c r="G10" s="168"/>
      <c r="H10" s="168"/>
      <c r="I10" s="168"/>
      <c r="J10" s="168"/>
      <c r="K10" s="214" t="s">
        <v>80</v>
      </c>
      <c r="L10" s="166"/>
    </row>
    <row r="11" spans="1:13">
      <c r="B11" s="212"/>
      <c r="C11" s="118"/>
      <c r="D11" s="167"/>
      <c r="E11" s="168" t="s">
        <v>256</v>
      </c>
      <c r="F11" s="213" t="s">
        <v>236</v>
      </c>
      <c r="G11" s="168" t="s">
        <v>240</v>
      </c>
      <c r="H11" s="168" t="s">
        <v>240</v>
      </c>
      <c r="I11" s="168" t="s">
        <v>240</v>
      </c>
      <c r="J11" s="168" t="s">
        <v>240</v>
      </c>
      <c r="K11" s="213" t="s">
        <v>240</v>
      </c>
      <c r="L11" s="158"/>
    </row>
    <row r="12" spans="1:13">
      <c r="B12" s="215"/>
      <c r="C12" s="133"/>
      <c r="D12" s="172" t="s">
        <v>80</v>
      </c>
      <c r="E12" s="168" t="s">
        <v>319</v>
      </c>
      <c r="F12" s="168" t="s">
        <v>319</v>
      </c>
      <c r="G12" s="168" t="s">
        <v>319</v>
      </c>
      <c r="H12" s="168" t="s">
        <v>319</v>
      </c>
      <c r="I12" s="168" t="s">
        <v>319</v>
      </c>
      <c r="J12" s="168" t="s">
        <v>319</v>
      </c>
      <c r="K12" s="213" t="s">
        <v>312</v>
      </c>
      <c r="L12" s="116"/>
    </row>
    <row r="13" spans="1:13">
      <c r="A13" s="119" t="s">
        <v>4</v>
      </c>
      <c r="B13" s="201"/>
      <c r="C13" s="130"/>
      <c r="D13" s="172" t="s">
        <v>240</v>
      </c>
      <c r="E13" s="168" t="s">
        <v>320</v>
      </c>
      <c r="F13" s="168" t="s">
        <v>320</v>
      </c>
      <c r="G13" s="168" t="s">
        <v>320</v>
      </c>
      <c r="H13" s="168" t="s">
        <v>320</v>
      </c>
      <c r="I13" s="168" t="s">
        <v>320</v>
      </c>
      <c r="J13" s="168" t="s">
        <v>320</v>
      </c>
      <c r="K13" s="213" t="s">
        <v>287</v>
      </c>
      <c r="L13" s="116"/>
      <c r="M13" s="119" t="s">
        <v>4</v>
      </c>
    </row>
    <row r="14" spans="1:13">
      <c r="A14" s="119" t="s">
        <v>5</v>
      </c>
      <c r="B14" s="1015" t="s">
        <v>260</v>
      </c>
      <c r="C14" s="1012" t="s">
        <v>261</v>
      </c>
      <c r="D14" s="1139" t="s">
        <v>319</v>
      </c>
      <c r="E14" s="1127" t="s">
        <v>262</v>
      </c>
      <c r="F14" s="1127" t="s">
        <v>263</v>
      </c>
      <c r="G14" s="1127" t="s">
        <v>321</v>
      </c>
      <c r="H14" s="1127" t="s">
        <v>322</v>
      </c>
      <c r="I14" s="1127" t="s">
        <v>323</v>
      </c>
      <c r="J14" s="1127" t="s">
        <v>266</v>
      </c>
      <c r="K14" s="1110" t="s">
        <v>267</v>
      </c>
      <c r="L14" s="1012" t="s">
        <v>8</v>
      </c>
      <c r="M14" s="119" t="s">
        <v>5</v>
      </c>
    </row>
    <row r="15" spans="1:13">
      <c r="B15" s="133"/>
      <c r="C15" s="133" t="s">
        <v>268</v>
      </c>
      <c r="D15" s="133"/>
      <c r="E15" s="133"/>
      <c r="F15" s="133"/>
      <c r="G15" s="133"/>
      <c r="H15" s="133"/>
      <c r="I15" s="133"/>
      <c r="J15" s="133"/>
      <c r="K15" s="174"/>
      <c r="L15" s="158"/>
    </row>
    <row r="16" spans="1:13">
      <c r="A16" s="119">
        <v>1</v>
      </c>
      <c r="B16" s="190">
        <v>303</v>
      </c>
      <c r="C16" s="62" t="s">
        <v>269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41">
        <f>SUM(D16:J16)</f>
        <v>0</v>
      </c>
      <c r="L16" s="158" t="s">
        <v>215</v>
      </c>
      <c r="M16" s="119">
        <f>A16</f>
        <v>1</v>
      </c>
    </row>
    <row r="17" spans="1:15">
      <c r="A17" s="119">
        <f>A16+1</f>
        <v>2</v>
      </c>
      <c r="B17" s="191">
        <v>310.10000000000002</v>
      </c>
      <c r="C17" s="62" t="s">
        <v>270</v>
      </c>
      <c r="D17" s="178">
        <v>0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42">
        <f>SUM(D17:J17)</f>
        <v>0</v>
      </c>
      <c r="L17" s="158" t="s">
        <v>215</v>
      </c>
      <c r="M17" s="119">
        <f>M16+1</f>
        <v>2</v>
      </c>
    </row>
    <row r="18" spans="1:15">
      <c r="A18" s="119">
        <f t="shared" ref="A18:A36" si="0">A17+1</f>
        <v>3</v>
      </c>
      <c r="B18" s="190">
        <v>340</v>
      </c>
      <c r="C18" s="192" t="s">
        <v>271</v>
      </c>
      <c r="D18" s="178">
        <v>0</v>
      </c>
      <c r="E18" s="179">
        <v>1.1003514720000001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80">
        <f>SUM(D18:J18)</f>
        <v>1.1003514720000001</v>
      </c>
      <c r="L18" s="158" t="s">
        <v>215</v>
      </c>
      <c r="M18" s="119">
        <f t="shared" ref="M18:M36" si="1">M17+1</f>
        <v>3</v>
      </c>
    </row>
    <row r="19" spans="1:15">
      <c r="A19" s="119">
        <f t="shared" si="0"/>
        <v>4</v>
      </c>
      <c r="B19" s="190">
        <v>360</v>
      </c>
      <c r="C19" s="192" t="s">
        <v>271</v>
      </c>
      <c r="D19" s="178">
        <v>0</v>
      </c>
      <c r="E19" s="179">
        <v>0</v>
      </c>
      <c r="F19" s="179">
        <v>49.343540000000004</v>
      </c>
      <c r="G19" s="179">
        <v>0</v>
      </c>
      <c r="H19" s="179">
        <v>0</v>
      </c>
      <c r="I19" s="179">
        <v>0</v>
      </c>
      <c r="J19" s="179">
        <v>0</v>
      </c>
      <c r="K19" s="180">
        <f>SUM(D19:J19)</f>
        <v>49.343540000000004</v>
      </c>
      <c r="L19" s="158" t="s">
        <v>215</v>
      </c>
      <c r="M19" s="119">
        <f t="shared" si="1"/>
        <v>4</v>
      </c>
    </row>
    <row r="20" spans="1:15">
      <c r="A20" s="119">
        <f t="shared" si="0"/>
        <v>5</v>
      </c>
      <c r="B20" s="190">
        <v>361</v>
      </c>
      <c r="C20" s="62" t="s">
        <v>272</v>
      </c>
      <c r="D20" s="178">
        <v>0</v>
      </c>
      <c r="E20" s="179">
        <v>0</v>
      </c>
      <c r="F20" s="179">
        <v>785.35741082426387</v>
      </c>
      <c r="G20" s="179">
        <v>0</v>
      </c>
      <c r="H20" s="179">
        <v>0</v>
      </c>
      <c r="I20" s="179">
        <v>0</v>
      </c>
      <c r="J20" s="179">
        <v>0</v>
      </c>
      <c r="K20" s="180">
        <f>SUM(D20:J20)</f>
        <v>785.35741082426387</v>
      </c>
      <c r="L20" s="158" t="s">
        <v>215</v>
      </c>
      <c r="M20" s="119">
        <f t="shared" si="1"/>
        <v>5</v>
      </c>
    </row>
    <row r="21" spans="1:15">
      <c r="A21" s="119">
        <f t="shared" si="0"/>
        <v>6</v>
      </c>
      <c r="B21" s="158"/>
      <c r="C21" s="133"/>
      <c r="D21" s="133"/>
      <c r="E21" s="133"/>
      <c r="F21" s="133"/>
      <c r="G21" s="133"/>
      <c r="H21" s="133"/>
      <c r="I21" s="133"/>
      <c r="J21" s="133"/>
      <c r="K21" s="180"/>
      <c r="L21" s="158"/>
      <c r="M21" s="119">
        <f t="shared" si="1"/>
        <v>6</v>
      </c>
    </row>
    <row r="22" spans="1:15" s="110" customFormat="1">
      <c r="A22" s="119">
        <f t="shared" si="0"/>
        <v>7</v>
      </c>
      <c r="B22" s="1178" t="s">
        <v>273</v>
      </c>
      <c r="C22" s="1179" t="s">
        <v>274</v>
      </c>
      <c r="D22" s="1180">
        <f t="shared" ref="D22:I22" si="2">SUM(D16:D21)</f>
        <v>0</v>
      </c>
      <c r="E22" s="1180">
        <f t="shared" si="2"/>
        <v>1.1003514720000001</v>
      </c>
      <c r="F22" s="1180">
        <f>SUM(F16:F21)</f>
        <v>834.70095082426383</v>
      </c>
      <c r="G22" s="1180">
        <f t="shared" si="2"/>
        <v>0</v>
      </c>
      <c r="H22" s="1180">
        <f t="shared" si="2"/>
        <v>0</v>
      </c>
      <c r="I22" s="1180">
        <f t="shared" si="2"/>
        <v>0</v>
      </c>
      <c r="J22" s="1180">
        <f>SUM(J16:J21)</f>
        <v>0</v>
      </c>
      <c r="K22" s="958">
        <f>SUM(K16:K21)</f>
        <v>835.80130229626388</v>
      </c>
      <c r="L22" s="1181" t="str">
        <f>"Sum Lines "&amp;A16&amp;" thru "&amp;A20</f>
        <v>Sum Lines 1 thru 5</v>
      </c>
      <c r="M22" s="119">
        <f t="shared" si="1"/>
        <v>7</v>
      </c>
    </row>
    <row r="23" spans="1:15">
      <c r="A23" s="119">
        <f t="shared" si="0"/>
        <v>8</v>
      </c>
      <c r="B23" s="158"/>
      <c r="C23" s="133"/>
      <c r="D23" s="181"/>
      <c r="E23" s="182"/>
      <c r="F23" s="182"/>
      <c r="G23" s="182"/>
      <c r="H23" s="182"/>
      <c r="I23" s="182"/>
      <c r="J23" s="182"/>
      <c r="K23" s="217"/>
      <c r="L23" s="158"/>
      <c r="M23" s="119">
        <f t="shared" si="1"/>
        <v>8</v>
      </c>
    </row>
    <row r="24" spans="1:15">
      <c r="A24" s="119">
        <f t="shared" si="0"/>
        <v>9</v>
      </c>
      <c r="B24" s="190">
        <v>350</v>
      </c>
      <c r="C24" s="62" t="s">
        <v>271</v>
      </c>
      <c r="D24" s="176">
        <v>34192.177180000013</v>
      </c>
      <c r="E24" s="177">
        <v>0</v>
      </c>
      <c r="F24" s="176">
        <v>0</v>
      </c>
      <c r="G24" s="176">
        <v>0</v>
      </c>
      <c r="H24" s="176">
        <v>0</v>
      </c>
      <c r="I24" s="177">
        <v>0</v>
      </c>
      <c r="J24" s="177">
        <v>-398.91016672000012</v>
      </c>
      <c r="K24" s="141">
        <f t="shared" ref="K24:K32" si="3">SUM(D24:J24)</f>
        <v>33793.267013280012</v>
      </c>
      <c r="L24" s="158" t="s">
        <v>215</v>
      </c>
      <c r="M24" s="119">
        <f t="shared" si="1"/>
        <v>9</v>
      </c>
    </row>
    <row r="25" spans="1:15">
      <c r="A25" s="119">
        <f t="shared" si="0"/>
        <v>10</v>
      </c>
      <c r="B25" s="190">
        <v>352</v>
      </c>
      <c r="C25" s="62" t="s">
        <v>272</v>
      </c>
      <c r="D25" s="181">
        <v>158132.68946523691</v>
      </c>
      <c r="E25" s="179">
        <v>0</v>
      </c>
      <c r="F25" s="179">
        <v>0</v>
      </c>
      <c r="G25" s="181">
        <v>-619.54469105066437</v>
      </c>
      <c r="H25" s="178">
        <v>0</v>
      </c>
      <c r="I25" s="179">
        <v>0</v>
      </c>
      <c r="J25" s="182">
        <v>-25973.644242050963</v>
      </c>
      <c r="K25" s="180">
        <f t="shared" si="3"/>
        <v>131539.50053213528</v>
      </c>
      <c r="L25" s="158" t="s">
        <v>215</v>
      </c>
      <c r="M25" s="119">
        <f t="shared" si="1"/>
        <v>10</v>
      </c>
      <c r="O25" s="145"/>
    </row>
    <row r="26" spans="1:15">
      <c r="A26" s="119">
        <f t="shared" si="0"/>
        <v>11</v>
      </c>
      <c r="B26" s="190">
        <v>353</v>
      </c>
      <c r="C26" s="62" t="s">
        <v>275</v>
      </c>
      <c r="D26" s="181">
        <v>675429.88923556637</v>
      </c>
      <c r="E26" s="179">
        <v>0</v>
      </c>
      <c r="F26" s="179">
        <v>0</v>
      </c>
      <c r="G26" s="181">
        <v>-4307.0072822957945</v>
      </c>
      <c r="H26" s="178">
        <v>-648.59725349409518</v>
      </c>
      <c r="I26" s="179">
        <v>0</v>
      </c>
      <c r="J26" s="182">
        <v>-1801.597698374565</v>
      </c>
      <c r="K26" s="180">
        <f t="shared" si="3"/>
        <v>668672.68700140191</v>
      </c>
      <c r="L26" s="158" t="s">
        <v>215</v>
      </c>
      <c r="M26" s="119">
        <f t="shared" si="1"/>
        <v>11</v>
      </c>
    </row>
    <row r="27" spans="1:15">
      <c r="A27" s="119">
        <f t="shared" si="0"/>
        <v>12</v>
      </c>
      <c r="B27" s="190">
        <v>354</v>
      </c>
      <c r="C27" s="62" t="s">
        <v>276</v>
      </c>
      <c r="D27" s="181">
        <v>300967.89680160215</v>
      </c>
      <c r="E27" s="179">
        <v>0</v>
      </c>
      <c r="F27" s="179">
        <v>0</v>
      </c>
      <c r="G27" s="181">
        <v>0</v>
      </c>
      <c r="H27" s="178">
        <v>0</v>
      </c>
      <c r="I27" s="179">
        <v>0</v>
      </c>
      <c r="J27" s="182">
        <v>0</v>
      </c>
      <c r="K27" s="180">
        <f t="shared" si="3"/>
        <v>300967.89680160215</v>
      </c>
      <c r="L27" s="158" t="s">
        <v>215</v>
      </c>
      <c r="M27" s="119">
        <f t="shared" si="1"/>
        <v>12</v>
      </c>
    </row>
    <row r="28" spans="1:15">
      <c r="A28" s="119">
        <f t="shared" si="0"/>
        <v>13</v>
      </c>
      <c r="B28" s="190">
        <v>355</v>
      </c>
      <c r="C28" s="62" t="s">
        <v>277</v>
      </c>
      <c r="D28" s="181">
        <v>242890.36550048084</v>
      </c>
      <c r="E28" s="179">
        <v>0</v>
      </c>
      <c r="F28" s="179">
        <v>0</v>
      </c>
      <c r="G28" s="181">
        <v>0</v>
      </c>
      <c r="H28" s="178">
        <v>0</v>
      </c>
      <c r="I28" s="179">
        <v>0</v>
      </c>
      <c r="J28" s="182">
        <v>0</v>
      </c>
      <c r="K28" s="180">
        <f t="shared" si="3"/>
        <v>242890.36550048084</v>
      </c>
      <c r="L28" s="158" t="s">
        <v>215</v>
      </c>
      <c r="M28" s="119">
        <f t="shared" si="1"/>
        <v>13</v>
      </c>
    </row>
    <row r="29" spans="1:15">
      <c r="A29" s="119">
        <f t="shared" si="0"/>
        <v>14</v>
      </c>
      <c r="B29" s="190">
        <v>356</v>
      </c>
      <c r="C29" s="62" t="s">
        <v>278</v>
      </c>
      <c r="D29" s="181">
        <v>319418.18373260985</v>
      </c>
      <c r="E29" s="179">
        <v>0</v>
      </c>
      <c r="F29" s="179">
        <v>0</v>
      </c>
      <c r="G29" s="181">
        <v>0</v>
      </c>
      <c r="H29" s="178">
        <v>0</v>
      </c>
      <c r="I29" s="179">
        <v>0</v>
      </c>
      <c r="J29" s="182">
        <v>0</v>
      </c>
      <c r="K29" s="180">
        <f t="shared" si="3"/>
        <v>319418.18373260985</v>
      </c>
      <c r="L29" s="158" t="s">
        <v>215</v>
      </c>
      <c r="M29" s="119">
        <f t="shared" si="1"/>
        <v>14</v>
      </c>
    </row>
    <row r="30" spans="1:15">
      <c r="A30" s="119">
        <f t="shared" si="0"/>
        <v>15</v>
      </c>
      <c r="B30" s="190">
        <v>357</v>
      </c>
      <c r="C30" s="62" t="s">
        <v>279</v>
      </c>
      <c r="D30" s="181">
        <v>128993.86591752002</v>
      </c>
      <c r="E30" s="179">
        <v>0</v>
      </c>
      <c r="F30" s="179">
        <v>0</v>
      </c>
      <c r="G30" s="181">
        <v>0</v>
      </c>
      <c r="H30" s="178">
        <v>0</v>
      </c>
      <c r="I30" s="179">
        <v>0</v>
      </c>
      <c r="J30" s="182">
        <v>0</v>
      </c>
      <c r="K30" s="180">
        <f t="shared" si="3"/>
        <v>128993.86591752002</v>
      </c>
      <c r="L30" s="158" t="s">
        <v>215</v>
      </c>
      <c r="M30" s="119">
        <f t="shared" si="1"/>
        <v>15</v>
      </c>
    </row>
    <row r="31" spans="1:15">
      <c r="A31" s="119">
        <f t="shared" si="0"/>
        <v>16</v>
      </c>
      <c r="B31" s="190">
        <v>358</v>
      </c>
      <c r="C31" s="62" t="s">
        <v>280</v>
      </c>
      <c r="D31" s="181">
        <v>127912.44765813717</v>
      </c>
      <c r="E31" s="179">
        <v>0</v>
      </c>
      <c r="F31" s="179">
        <v>0</v>
      </c>
      <c r="G31" s="181">
        <v>-677.52025342225772</v>
      </c>
      <c r="H31" s="178">
        <v>0</v>
      </c>
      <c r="I31" s="179">
        <v>0</v>
      </c>
      <c r="J31" s="182">
        <v>0</v>
      </c>
      <c r="K31" s="180">
        <f t="shared" si="3"/>
        <v>127234.92740471491</v>
      </c>
      <c r="L31" s="158" t="s">
        <v>215</v>
      </c>
      <c r="M31" s="119">
        <f t="shared" si="1"/>
        <v>16</v>
      </c>
    </row>
    <row r="32" spans="1:15">
      <c r="A32" s="119">
        <f t="shared" si="0"/>
        <v>17</v>
      </c>
      <c r="B32" s="190">
        <v>359</v>
      </c>
      <c r="C32" s="62" t="s">
        <v>281</v>
      </c>
      <c r="D32" s="181">
        <v>68288.094049413616</v>
      </c>
      <c r="E32" s="179">
        <v>0</v>
      </c>
      <c r="F32" s="179">
        <v>0</v>
      </c>
      <c r="G32" s="181">
        <v>0</v>
      </c>
      <c r="H32" s="178">
        <v>0</v>
      </c>
      <c r="I32" s="179">
        <v>0</v>
      </c>
      <c r="J32" s="182">
        <v>0</v>
      </c>
      <c r="K32" s="180">
        <f t="shared" si="3"/>
        <v>68288.094049413616</v>
      </c>
      <c r="L32" s="158" t="s">
        <v>215</v>
      </c>
      <c r="M32" s="119">
        <f t="shared" si="1"/>
        <v>17</v>
      </c>
    </row>
    <row r="33" spans="1:13">
      <c r="A33" s="119">
        <f t="shared" si="0"/>
        <v>18</v>
      </c>
      <c r="B33" s="218"/>
      <c r="C33" s="133"/>
      <c r="D33" s="181"/>
      <c r="F33" s="1030"/>
      <c r="G33" s="1030"/>
      <c r="H33" s="1030"/>
      <c r="I33" s="1030"/>
      <c r="J33" s="182"/>
      <c r="K33" s="1140"/>
      <c r="L33" s="175"/>
      <c r="M33" s="119">
        <f t="shared" si="1"/>
        <v>18</v>
      </c>
    </row>
    <row r="34" spans="1:13">
      <c r="A34" s="119">
        <f t="shared" si="0"/>
        <v>19</v>
      </c>
      <c r="B34" s="1182" t="s">
        <v>273</v>
      </c>
      <c r="C34" s="1179" t="s">
        <v>239</v>
      </c>
      <c r="D34" s="1180">
        <f t="shared" ref="D34:I34" si="4">SUM(D24:D33)</f>
        <v>2056225.609540567</v>
      </c>
      <c r="E34" s="1180">
        <f t="shared" si="4"/>
        <v>0</v>
      </c>
      <c r="F34" s="1180">
        <f>SUM(F24:F33)</f>
        <v>0</v>
      </c>
      <c r="G34" s="1180">
        <f t="shared" si="4"/>
        <v>-5604.072226768717</v>
      </c>
      <c r="H34" s="1180">
        <f t="shared" si="4"/>
        <v>-648.59725349409518</v>
      </c>
      <c r="I34" s="1180">
        <f t="shared" si="4"/>
        <v>0</v>
      </c>
      <c r="J34" s="1180">
        <f>SUM(J24:J33)</f>
        <v>-28174.152107145528</v>
      </c>
      <c r="K34" s="958">
        <f>SUM(K24:K33)</f>
        <v>2021798.7879531591</v>
      </c>
      <c r="L34" s="1183" t="str">
        <f>"Sum Lines "&amp;A24&amp;" thru "&amp;A32</f>
        <v>Sum Lines 9 thru 17</v>
      </c>
      <c r="M34" s="119">
        <f t="shared" si="1"/>
        <v>19</v>
      </c>
    </row>
    <row r="35" spans="1:13">
      <c r="A35" s="119">
        <f t="shared" si="0"/>
        <v>20</v>
      </c>
      <c r="B35" s="215"/>
      <c r="D35" s="136"/>
      <c r="J35" s="183"/>
      <c r="K35" s="183"/>
      <c r="L35" s="959"/>
      <c r="M35" s="119">
        <f t="shared" si="1"/>
        <v>20</v>
      </c>
    </row>
    <row r="36" spans="1:13">
      <c r="A36" s="119">
        <f t="shared" si="0"/>
        <v>21</v>
      </c>
      <c r="B36" s="1187" t="s">
        <v>282</v>
      </c>
      <c r="C36" s="960"/>
      <c r="D36" s="1185">
        <f t="shared" ref="D36:I36" si="5">D34+D22</f>
        <v>2056225.609540567</v>
      </c>
      <c r="E36" s="1185">
        <f t="shared" si="5"/>
        <v>1.1003514720000001</v>
      </c>
      <c r="F36" s="1185">
        <f>F34+F22</f>
        <v>834.70095082426383</v>
      </c>
      <c r="G36" s="1185">
        <f t="shared" si="5"/>
        <v>-5604.072226768717</v>
      </c>
      <c r="H36" s="1185">
        <f t="shared" si="5"/>
        <v>-648.59725349409518</v>
      </c>
      <c r="I36" s="1186">
        <f t="shared" si="5"/>
        <v>0</v>
      </c>
      <c r="J36" s="1185">
        <f>J34+J22</f>
        <v>-28174.152107145528</v>
      </c>
      <c r="K36" s="1185">
        <f>K34+K22</f>
        <v>2022634.5892554554</v>
      </c>
      <c r="L36" s="1181" t="str">
        <f>"Line "&amp;A22&amp;" + Line "&amp;A34</f>
        <v>Line 7 + Line 19</v>
      </c>
      <c r="M36" s="119">
        <f t="shared" si="1"/>
        <v>21</v>
      </c>
    </row>
    <row r="37" spans="1:13">
      <c r="D37" s="136"/>
      <c r="K37" s="219"/>
      <c r="L37" s="219"/>
    </row>
    <row r="38" spans="1:13">
      <c r="D38" s="136"/>
      <c r="K38" s="219"/>
      <c r="L38" s="219"/>
    </row>
    <row r="39" spans="1:13">
      <c r="B39" s="136" t="s">
        <v>324</v>
      </c>
      <c r="D39" s="136"/>
    </row>
    <row r="40" spans="1:13">
      <c r="D40" s="136"/>
    </row>
    <row r="41" spans="1:13">
      <c r="D41" s="136"/>
    </row>
    <row r="42" spans="1:13">
      <c r="D42" s="136"/>
    </row>
    <row r="43" spans="1:13">
      <c r="D43" s="136"/>
    </row>
    <row r="44" spans="1:13">
      <c r="D44" s="136"/>
    </row>
    <row r="45" spans="1:13">
      <c r="D45" s="136"/>
    </row>
    <row r="46" spans="1:13">
      <c r="D46" s="136"/>
    </row>
    <row r="47" spans="1:13">
      <c r="D47" s="136"/>
    </row>
    <row r="48" spans="1:13">
      <c r="D48" s="136"/>
    </row>
    <row r="49" spans="4:4">
      <c r="D49" s="136"/>
    </row>
    <row r="50" spans="4:4">
      <c r="D50" s="136"/>
    </row>
    <row r="51" spans="4:4">
      <c r="D51" s="136"/>
    </row>
    <row r="52" spans="4:4">
      <c r="D52" s="136"/>
    </row>
    <row r="53" spans="4:4">
      <c r="D53" s="136"/>
    </row>
    <row r="54" spans="4:4">
      <c r="D54" s="136"/>
    </row>
    <row r="55" spans="4:4">
      <c r="D55" s="136"/>
    </row>
    <row r="56" spans="4:4">
      <c r="D56" s="136"/>
    </row>
    <row r="57" spans="4:4">
      <c r="D57" s="136"/>
    </row>
    <row r="58" spans="4:4">
      <c r="D58" s="136"/>
    </row>
    <row r="59" spans="4:4">
      <c r="D59" s="136"/>
    </row>
    <row r="60" spans="4:4">
      <c r="D60" s="136"/>
    </row>
    <row r="61" spans="4:4">
      <c r="D61" s="136"/>
    </row>
    <row r="62" spans="4:4">
      <c r="D62" s="136"/>
    </row>
    <row r="63" spans="4:4">
      <c r="D63" s="136"/>
    </row>
    <row r="64" spans="4:4">
      <c r="D64" s="136"/>
    </row>
    <row r="65" spans="4:4">
      <c r="D65" s="136"/>
    </row>
    <row r="66" spans="4:4">
      <c r="D66" s="136"/>
    </row>
    <row r="67" spans="4:4">
      <c r="D67" s="136"/>
    </row>
    <row r="68" spans="4:4">
      <c r="D68" s="136"/>
    </row>
    <row r="69" spans="4:4">
      <c r="D69" s="136"/>
    </row>
    <row r="70" spans="4:4">
      <c r="D70" s="136"/>
    </row>
    <row r="71" spans="4:4">
      <c r="D71" s="136"/>
    </row>
    <row r="72" spans="4:4">
      <c r="D72" s="136"/>
    </row>
    <row r="73" spans="4:4">
      <c r="D73" s="136"/>
    </row>
    <row r="74" spans="4:4">
      <c r="D74" s="136"/>
    </row>
    <row r="75" spans="4:4">
      <c r="D75" s="136"/>
    </row>
    <row r="76" spans="4:4">
      <c r="D76" s="136"/>
    </row>
    <row r="77" spans="4:4">
      <c r="D77" s="136"/>
    </row>
    <row r="78" spans="4:4">
      <c r="D78" s="136"/>
    </row>
    <row r="79" spans="4:4">
      <c r="D79" s="136"/>
    </row>
    <row r="80" spans="4:4">
      <c r="D80" s="136"/>
    </row>
    <row r="81" spans="4:4">
      <c r="D81" s="136"/>
    </row>
    <row r="82" spans="4:4">
      <c r="D82" s="136"/>
    </row>
    <row r="83" spans="4:4">
      <c r="D83" s="136"/>
    </row>
    <row r="84" spans="4:4">
      <c r="D84" s="136"/>
    </row>
    <row r="85" spans="4:4">
      <c r="D85" s="136"/>
    </row>
    <row r="86" spans="4:4">
      <c r="D86" s="136"/>
    </row>
    <row r="87" spans="4:4">
      <c r="D87" s="136"/>
    </row>
    <row r="88" spans="4:4">
      <c r="D88" s="136"/>
    </row>
    <row r="89" spans="4:4">
      <c r="D89" s="136"/>
    </row>
    <row r="90" spans="4:4">
      <c r="D90" s="136"/>
    </row>
    <row r="91" spans="4:4">
      <c r="D91" s="136"/>
    </row>
    <row r="92" spans="4:4">
      <c r="D92" s="136"/>
    </row>
    <row r="93" spans="4:4">
      <c r="D93" s="136"/>
    </row>
    <row r="94" spans="4:4">
      <c r="D94" s="136"/>
    </row>
    <row r="95" spans="4:4">
      <c r="D95" s="136"/>
    </row>
    <row r="96" spans="4:4">
      <c r="D96" s="136"/>
    </row>
    <row r="97" spans="4:4">
      <c r="D97" s="136"/>
    </row>
    <row r="98" spans="4:4">
      <c r="D98" s="136"/>
    </row>
    <row r="99" spans="4:4">
      <c r="D99" s="136"/>
    </row>
    <row r="100" spans="4:4">
      <c r="D100" s="136"/>
    </row>
    <row r="101" spans="4:4">
      <c r="D101" s="136"/>
    </row>
    <row r="102" spans="4:4">
      <c r="D102" s="136"/>
    </row>
    <row r="103" spans="4:4">
      <c r="D103" s="136"/>
    </row>
    <row r="104" spans="4:4">
      <c r="D104" s="136"/>
    </row>
    <row r="105" spans="4:4">
      <c r="D105" s="136"/>
    </row>
    <row r="106" spans="4:4">
      <c r="D106" s="136"/>
    </row>
    <row r="107" spans="4:4">
      <c r="D107" s="136"/>
    </row>
    <row r="108" spans="4:4">
      <c r="D108" s="136"/>
    </row>
    <row r="109" spans="4:4">
      <c r="D109" s="136"/>
    </row>
    <row r="110" spans="4:4">
      <c r="D110" s="136"/>
    </row>
    <row r="111" spans="4:4">
      <c r="D111" s="136"/>
    </row>
    <row r="112" spans="4:4">
      <c r="D112" s="136"/>
    </row>
    <row r="113" spans="4:4">
      <c r="D113" s="136"/>
    </row>
    <row r="114" spans="4:4">
      <c r="D114" s="136"/>
    </row>
    <row r="115" spans="4:4">
      <c r="D115" s="136"/>
    </row>
    <row r="116" spans="4:4">
      <c r="D116" s="136"/>
    </row>
    <row r="117" spans="4:4">
      <c r="D117" s="136"/>
    </row>
    <row r="118" spans="4:4">
      <c r="D118" s="136"/>
    </row>
    <row r="119" spans="4:4">
      <c r="D119" s="136"/>
    </row>
    <row r="120" spans="4:4">
      <c r="D120" s="136"/>
    </row>
    <row r="121" spans="4:4">
      <c r="D121" s="136"/>
    </row>
    <row r="122" spans="4:4">
      <c r="D122" s="136"/>
    </row>
    <row r="123" spans="4:4">
      <c r="D123" s="136"/>
    </row>
    <row r="124" spans="4:4">
      <c r="D124" s="136"/>
    </row>
    <row r="125" spans="4:4">
      <c r="D125" s="136"/>
    </row>
    <row r="126" spans="4:4">
      <c r="D126" s="136"/>
    </row>
    <row r="127" spans="4:4">
      <c r="D127" s="136"/>
    </row>
    <row r="128" spans="4:4">
      <c r="D128" s="136"/>
    </row>
    <row r="129" spans="4:4">
      <c r="D129" s="136"/>
    </row>
    <row r="130" spans="4:4">
      <c r="D130" s="136"/>
    </row>
    <row r="131" spans="4:4">
      <c r="D131" s="136"/>
    </row>
    <row r="132" spans="4:4">
      <c r="D132" s="136"/>
    </row>
    <row r="133" spans="4:4">
      <c r="D133" s="136"/>
    </row>
    <row r="134" spans="4:4">
      <c r="D134" s="136"/>
    </row>
    <row r="135" spans="4:4">
      <c r="D135" s="136"/>
    </row>
    <row r="136" spans="4:4">
      <c r="D136" s="136"/>
    </row>
    <row r="137" spans="4:4">
      <c r="D137" s="136"/>
    </row>
    <row r="138" spans="4:4">
      <c r="D138" s="136"/>
    </row>
    <row r="139" spans="4:4">
      <c r="D139" s="136"/>
    </row>
    <row r="140" spans="4:4">
      <c r="D140" s="136"/>
    </row>
    <row r="141" spans="4:4">
      <c r="D141" s="136"/>
    </row>
    <row r="142" spans="4:4">
      <c r="D142" s="136"/>
    </row>
    <row r="143" spans="4:4">
      <c r="D143" s="136"/>
    </row>
    <row r="144" spans="4:4">
      <c r="D144" s="136"/>
    </row>
    <row r="145" spans="4:4">
      <c r="D145" s="136"/>
    </row>
    <row r="146" spans="4:4">
      <c r="D146" s="136"/>
    </row>
    <row r="147" spans="4:4">
      <c r="D147" s="136"/>
    </row>
    <row r="148" spans="4:4">
      <c r="D148" s="136"/>
    </row>
    <row r="149" spans="4:4">
      <c r="D149" s="136"/>
    </row>
    <row r="150" spans="4:4">
      <c r="D150" s="136"/>
    </row>
    <row r="151" spans="4:4">
      <c r="D151" s="136"/>
    </row>
    <row r="152" spans="4:4">
      <c r="D152" s="136"/>
    </row>
    <row r="153" spans="4:4">
      <c r="D153" s="136"/>
    </row>
    <row r="154" spans="4:4">
      <c r="D154" s="136"/>
    </row>
    <row r="155" spans="4:4">
      <c r="D155" s="136"/>
    </row>
    <row r="156" spans="4:4">
      <c r="D156" s="136"/>
    </row>
    <row r="157" spans="4:4">
      <c r="D157" s="136"/>
    </row>
    <row r="158" spans="4:4">
      <c r="D158" s="136"/>
    </row>
    <row r="159" spans="4:4">
      <c r="D159" s="136"/>
    </row>
    <row r="160" spans="4:4">
      <c r="D160" s="136"/>
    </row>
    <row r="161" spans="4:4">
      <c r="D161" s="136"/>
    </row>
    <row r="162" spans="4:4">
      <c r="D162" s="136"/>
    </row>
    <row r="163" spans="4:4">
      <c r="D163" s="136"/>
    </row>
    <row r="164" spans="4:4">
      <c r="D164" s="136"/>
    </row>
    <row r="165" spans="4:4">
      <c r="D165" s="136"/>
    </row>
    <row r="166" spans="4:4">
      <c r="D166" s="136"/>
    </row>
    <row r="167" spans="4:4">
      <c r="D167" s="136"/>
    </row>
    <row r="168" spans="4:4">
      <c r="D168" s="136"/>
    </row>
    <row r="169" spans="4:4">
      <c r="D169" s="136"/>
    </row>
    <row r="170" spans="4:4">
      <c r="D170" s="136"/>
    </row>
    <row r="171" spans="4:4">
      <c r="D171" s="136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O171"/>
  <sheetViews>
    <sheetView zoomScale="80" zoomScaleNormal="80" workbookViewId="0">
      <selection activeCell="J42" sqref="J42"/>
    </sheetView>
  </sheetViews>
  <sheetFormatPr defaultColWidth="9.140625" defaultRowHeight="15.75"/>
  <cols>
    <col min="1" max="1" width="5.140625" style="119" customWidth="1"/>
    <col min="2" max="2" width="11.140625" style="136" customWidth="1"/>
    <col min="3" max="3" width="32.5703125" style="136" customWidth="1"/>
    <col min="4" max="11" width="18.5703125" style="189" customWidth="1"/>
    <col min="12" max="12" width="24" style="189" customWidth="1"/>
    <col min="13" max="13" width="5.140625" style="119" customWidth="1"/>
    <col min="14" max="16384" width="9.140625" style="136"/>
  </cols>
  <sheetData>
    <row r="2" spans="1:13" s="110" customFormat="1">
      <c r="A2" s="109"/>
      <c r="B2" s="1287" t="s">
        <v>0</v>
      </c>
      <c r="C2" s="1287"/>
      <c r="D2" s="1287"/>
      <c r="E2" s="1287"/>
      <c r="F2" s="1287"/>
      <c r="G2" s="1287"/>
      <c r="H2" s="1287"/>
      <c r="I2" s="1287"/>
      <c r="J2" s="1287"/>
      <c r="K2" s="1287"/>
      <c r="L2" s="1287"/>
      <c r="M2" s="109"/>
    </row>
    <row r="3" spans="1:13" s="110" customFormat="1">
      <c r="A3" s="109"/>
      <c r="B3" s="1287" t="s">
        <v>246</v>
      </c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09"/>
    </row>
    <row r="4" spans="1:13">
      <c r="B4" s="1287" t="s">
        <v>318</v>
      </c>
      <c r="C4" s="1287"/>
      <c r="D4" s="1287"/>
      <c r="E4" s="1287"/>
      <c r="F4" s="1287"/>
      <c r="G4" s="1287"/>
      <c r="H4" s="1287"/>
      <c r="I4" s="1287"/>
      <c r="J4" s="1287"/>
      <c r="K4" s="1287"/>
      <c r="L4" s="1287"/>
    </row>
    <row r="5" spans="1:13">
      <c r="B5" s="1287" t="s">
        <v>311</v>
      </c>
      <c r="C5" s="1287"/>
      <c r="D5" s="1287"/>
      <c r="E5" s="1287"/>
      <c r="F5" s="1287"/>
      <c r="G5" s="1287"/>
      <c r="H5" s="1287"/>
      <c r="I5" s="1287"/>
      <c r="J5" s="1287"/>
      <c r="K5" s="1287"/>
      <c r="L5" s="1287"/>
    </row>
    <row r="6" spans="1:13">
      <c r="B6" s="1287" t="str">
        <f>"BALANCES AS OF 12/31/"&amp;Automation!$B$3</f>
        <v>BALANCES AS OF 12/31/2024</v>
      </c>
      <c r="C6" s="1287"/>
      <c r="D6" s="1287"/>
      <c r="E6" s="1287"/>
      <c r="F6" s="1287"/>
      <c r="G6" s="1287"/>
      <c r="H6" s="1287"/>
      <c r="I6" s="1287"/>
      <c r="J6" s="1287"/>
      <c r="K6" s="1287"/>
      <c r="L6" s="1287"/>
    </row>
    <row r="7" spans="1:13">
      <c r="B7" s="1291" t="s">
        <v>3</v>
      </c>
      <c r="C7" s="1287"/>
      <c r="D7" s="1287"/>
      <c r="E7" s="1287"/>
      <c r="F7" s="1287"/>
      <c r="G7" s="1287"/>
      <c r="H7" s="1287"/>
      <c r="I7" s="1287"/>
      <c r="J7" s="1287"/>
      <c r="K7" s="1287"/>
      <c r="L7" s="1287"/>
    </row>
    <row r="8" spans="1:13">
      <c r="C8" s="111"/>
      <c r="D8" s="112"/>
      <c r="E8" s="165"/>
      <c r="F8" s="165"/>
      <c r="G8" s="165"/>
      <c r="H8" s="165"/>
      <c r="I8" s="165"/>
      <c r="J8" s="165"/>
      <c r="K8" s="165"/>
      <c r="L8" s="165"/>
    </row>
    <row r="9" spans="1:13" s="109" customFormat="1">
      <c r="B9" s="964"/>
      <c r="C9" s="955"/>
      <c r="D9" s="956" t="s">
        <v>248</v>
      </c>
      <c r="E9" s="957" t="s">
        <v>249</v>
      </c>
      <c r="F9" s="957" t="s">
        <v>250</v>
      </c>
      <c r="G9" s="957" t="s">
        <v>251</v>
      </c>
      <c r="H9" s="957" t="s">
        <v>252</v>
      </c>
      <c r="I9" s="957" t="s">
        <v>253</v>
      </c>
      <c r="J9" s="957" t="s">
        <v>254</v>
      </c>
      <c r="K9" s="967" t="s">
        <v>255</v>
      </c>
      <c r="L9" s="859"/>
    </row>
    <row r="10" spans="1:13">
      <c r="B10" s="212"/>
      <c r="C10" s="118"/>
      <c r="D10" s="167"/>
      <c r="E10" s="168"/>
      <c r="F10" s="213"/>
      <c r="G10" s="168"/>
      <c r="H10" s="168"/>
      <c r="I10" s="168"/>
      <c r="J10" s="168"/>
      <c r="K10" s="214" t="s">
        <v>80</v>
      </c>
      <c r="L10" s="166"/>
    </row>
    <row r="11" spans="1:13">
      <c r="B11" s="212"/>
      <c r="C11" s="118"/>
      <c r="D11" s="167"/>
      <c r="E11" s="168" t="s">
        <v>256</v>
      </c>
      <c r="F11" s="213" t="s">
        <v>236</v>
      </c>
      <c r="G11" s="168" t="s">
        <v>240</v>
      </c>
      <c r="H11" s="168" t="s">
        <v>240</v>
      </c>
      <c r="I11" s="168" t="s">
        <v>240</v>
      </c>
      <c r="J11" s="168" t="s">
        <v>240</v>
      </c>
      <c r="K11" s="213" t="s">
        <v>240</v>
      </c>
      <c r="L11" s="158"/>
    </row>
    <row r="12" spans="1:13">
      <c r="B12" s="215"/>
      <c r="C12" s="133"/>
      <c r="D12" s="172" t="s">
        <v>80</v>
      </c>
      <c r="E12" s="168" t="s">
        <v>319</v>
      </c>
      <c r="F12" s="168" t="s">
        <v>319</v>
      </c>
      <c r="G12" s="168" t="s">
        <v>319</v>
      </c>
      <c r="H12" s="168" t="s">
        <v>319</v>
      </c>
      <c r="I12" s="168" t="s">
        <v>319</v>
      </c>
      <c r="J12" s="168" t="s">
        <v>319</v>
      </c>
      <c r="K12" s="213" t="s">
        <v>312</v>
      </c>
      <c r="L12" s="116"/>
    </row>
    <row r="13" spans="1:13">
      <c r="A13" s="119" t="s">
        <v>4</v>
      </c>
      <c r="B13" s="201"/>
      <c r="C13" s="130"/>
      <c r="D13" s="172" t="s">
        <v>240</v>
      </c>
      <c r="E13" s="168" t="s">
        <v>320</v>
      </c>
      <c r="F13" s="168" t="s">
        <v>320</v>
      </c>
      <c r="G13" s="168" t="s">
        <v>320</v>
      </c>
      <c r="H13" s="168" t="s">
        <v>320</v>
      </c>
      <c r="I13" s="168" t="s">
        <v>320</v>
      </c>
      <c r="J13" s="168" t="s">
        <v>320</v>
      </c>
      <c r="K13" s="213" t="s">
        <v>287</v>
      </c>
      <c r="L13" s="116"/>
      <c r="M13" s="119" t="s">
        <v>4</v>
      </c>
    </row>
    <row r="14" spans="1:13">
      <c r="A14" s="119" t="s">
        <v>5</v>
      </c>
      <c r="B14" s="1015" t="s">
        <v>260</v>
      </c>
      <c r="C14" s="1012" t="s">
        <v>261</v>
      </c>
      <c r="D14" s="1139" t="s">
        <v>319</v>
      </c>
      <c r="E14" s="1127" t="s">
        <v>262</v>
      </c>
      <c r="F14" s="1127" t="s">
        <v>263</v>
      </c>
      <c r="G14" s="1127" t="s">
        <v>321</v>
      </c>
      <c r="H14" s="1127" t="s">
        <v>322</v>
      </c>
      <c r="I14" s="1127" t="s">
        <v>323</v>
      </c>
      <c r="J14" s="1127" t="s">
        <v>266</v>
      </c>
      <c r="K14" s="1110" t="s">
        <v>267</v>
      </c>
      <c r="L14" s="1012" t="s">
        <v>8</v>
      </c>
      <c r="M14" s="119" t="s">
        <v>5</v>
      </c>
    </row>
    <row r="15" spans="1:13">
      <c r="B15" s="133"/>
      <c r="C15" s="133" t="s">
        <v>268</v>
      </c>
      <c r="D15" s="133"/>
      <c r="E15" s="133"/>
      <c r="F15" s="133"/>
      <c r="G15" s="133"/>
      <c r="H15" s="133"/>
      <c r="I15" s="133"/>
      <c r="J15" s="133"/>
      <c r="K15" s="174"/>
      <c r="L15" s="158"/>
    </row>
    <row r="16" spans="1:13">
      <c r="A16" s="119">
        <v>1</v>
      </c>
      <c r="B16" s="190">
        <v>303</v>
      </c>
      <c r="C16" s="62" t="s">
        <v>269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41">
        <f>SUM(D16:J16)</f>
        <v>0</v>
      </c>
      <c r="L16" s="158" t="s">
        <v>215</v>
      </c>
      <c r="M16" s="119">
        <f>A16</f>
        <v>1</v>
      </c>
    </row>
    <row r="17" spans="1:15">
      <c r="A17" s="119">
        <f>A16+1</f>
        <v>2</v>
      </c>
      <c r="B17" s="191">
        <v>310.10000000000002</v>
      </c>
      <c r="C17" s="62" t="s">
        <v>270</v>
      </c>
      <c r="D17" s="178">
        <v>0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42">
        <f>SUM(D17:J17)</f>
        <v>0</v>
      </c>
      <c r="L17" s="158" t="s">
        <v>215</v>
      </c>
      <c r="M17" s="119">
        <f>M16+1</f>
        <v>2</v>
      </c>
    </row>
    <row r="18" spans="1:15">
      <c r="A18" s="119">
        <f t="shared" ref="A18:A36" si="0">A17+1</f>
        <v>3</v>
      </c>
      <c r="B18" s="190">
        <v>340</v>
      </c>
      <c r="C18" s="192" t="s">
        <v>271</v>
      </c>
      <c r="D18" s="178">
        <v>0</v>
      </c>
      <c r="E18" s="179">
        <v>1.0564053960000002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80">
        <f>SUM(D18:J18)</f>
        <v>1.0564053960000002</v>
      </c>
      <c r="L18" s="158" t="s">
        <v>215</v>
      </c>
      <c r="M18" s="119">
        <f t="shared" ref="M18:M36" si="1">M17+1</f>
        <v>3</v>
      </c>
    </row>
    <row r="19" spans="1:15">
      <c r="A19" s="119">
        <f t="shared" si="0"/>
        <v>4</v>
      </c>
      <c r="B19" s="190">
        <v>360</v>
      </c>
      <c r="C19" s="192" t="s">
        <v>271</v>
      </c>
      <c r="D19" s="178">
        <v>0</v>
      </c>
      <c r="E19" s="179">
        <v>0</v>
      </c>
      <c r="F19" s="179">
        <v>46.146360000000001</v>
      </c>
      <c r="G19" s="179">
        <v>0</v>
      </c>
      <c r="H19" s="179">
        <v>0</v>
      </c>
      <c r="I19" s="179">
        <v>0</v>
      </c>
      <c r="J19" s="179">
        <v>0</v>
      </c>
      <c r="K19" s="180">
        <f>SUM(D19:J19)</f>
        <v>46.146360000000001</v>
      </c>
      <c r="L19" s="158" t="s">
        <v>215</v>
      </c>
      <c r="M19" s="119">
        <f t="shared" si="1"/>
        <v>4</v>
      </c>
    </row>
    <row r="20" spans="1:15">
      <c r="A20" s="119">
        <f t="shared" si="0"/>
        <v>5</v>
      </c>
      <c r="B20" s="190">
        <v>361</v>
      </c>
      <c r="C20" s="62" t="s">
        <v>272</v>
      </c>
      <c r="D20" s="178">
        <v>0</v>
      </c>
      <c r="E20" s="179">
        <v>0</v>
      </c>
      <c r="F20" s="179">
        <v>839.17028317790084</v>
      </c>
      <c r="G20" s="179">
        <v>0</v>
      </c>
      <c r="H20" s="179">
        <v>0</v>
      </c>
      <c r="I20" s="179">
        <v>0</v>
      </c>
      <c r="J20" s="179">
        <v>0</v>
      </c>
      <c r="K20" s="180">
        <f>SUM(D20:J20)</f>
        <v>839.17028317790084</v>
      </c>
      <c r="L20" s="158" t="s">
        <v>215</v>
      </c>
      <c r="M20" s="119">
        <f t="shared" si="1"/>
        <v>5</v>
      </c>
    </row>
    <row r="21" spans="1:15">
      <c r="A21" s="119">
        <f t="shared" si="0"/>
        <v>6</v>
      </c>
      <c r="B21" s="158"/>
      <c r="C21" s="133"/>
      <c r="D21" s="133"/>
      <c r="E21" s="133"/>
      <c r="F21" s="133"/>
      <c r="G21" s="133"/>
      <c r="H21" s="133"/>
      <c r="I21" s="133"/>
      <c r="J21" s="133"/>
      <c r="K21" s="180"/>
      <c r="L21" s="158"/>
      <c r="M21" s="119">
        <f t="shared" si="1"/>
        <v>6</v>
      </c>
    </row>
    <row r="22" spans="1:15" s="110" customFormat="1">
      <c r="A22" s="119">
        <f t="shared" si="0"/>
        <v>7</v>
      </c>
      <c r="B22" s="1178" t="s">
        <v>273</v>
      </c>
      <c r="C22" s="1179" t="s">
        <v>274</v>
      </c>
      <c r="D22" s="1180">
        <f t="shared" ref="D22:I22" si="2">SUM(D16:D21)</f>
        <v>0</v>
      </c>
      <c r="E22" s="1180">
        <f t="shared" si="2"/>
        <v>1.0564053960000002</v>
      </c>
      <c r="F22" s="1180">
        <f>SUM(F16:F21)</f>
        <v>885.3166431779008</v>
      </c>
      <c r="G22" s="1180">
        <f t="shared" si="2"/>
        <v>0</v>
      </c>
      <c r="H22" s="1180">
        <f t="shared" si="2"/>
        <v>0</v>
      </c>
      <c r="I22" s="1180">
        <f t="shared" si="2"/>
        <v>0</v>
      </c>
      <c r="J22" s="1180">
        <f>SUM(J16:J21)</f>
        <v>0</v>
      </c>
      <c r="K22" s="958">
        <f>SUM(K16:K21)</f>
        <v>886.37304857390086</v>
      </c>
      <c r="L22" s="1181" t="str">
        <f>"Sum Lines "&amp;A16&amp;" thru "&amp;A20</f>
        <v>Sum Lines 1 thru 5</v>
      </c>
      <c r="M22" s="119">
        <f t="shared" si="1"/>
        <v>7</v>
      </c>
    </row>
    <row r="23" spans="1:15">
      <c r="A23" s="119">
        <f t="shared" si="0"/>
        <v>8</v>
      </c>
      <c r="B23" s="158"/>
      <c r="C23" s="133"/>
      <c r="D23" s="181"/>
      <c r="E23" s="182"/>
      <c r="F23" s="182"/>
      <c r="G23" s="182"/>
      <c r="H23" s="182"/>
      <c r="I23" s="182"/>
      <c r="J23" s="182"/>
      <c r="K23" s="217"/>
      <c r="L23" s="158"/>
      <c r="M23" s="119">
        <f t="shared" si="1"/>
        <v>8</v>
      </c>
    </row>
    <row r="24" spans="1:15">
      <c r="A24" s="119">
        <f t="shared" si="0"/>
        <v>9</v>
      </c>
      <c r="B24" s="190">
        <v>350</v>
      </c>
      <c r="C24" s="62" t="s">
        <v>271</v>
      </c>
      <c r="D24" s="176">
        <v>36274.471170000012</v>
      </c>
      <c r="E24" s="177">
        <v>0</v>
      </c>
      <c r="F24" s="176">
        <v>0</v>
      </c>
      <c r="G24" s="176">
        <v>0</v>
      </c>
      <c r="H24" s="176">
        <v>0</v>
      </c>
      <c r="I24" s="177">
        <v>0</v>
      </c>
      <c r="J24" s="177">
        <v>-410.48312322399994</v>
      </c>
      <c r="K24" s="141">
        <f t="shared" ref="K24:K32" si="3">SUM(D24:J24)</f>
        <v>35863.988046776009</v>
      </c>
      <c r="L24" s="158" t="s">
        <v>215</v>
      </c>
      <c r="M24" s="119">
        <f t="shared" si="1"/>
        <v>9</v>
      </c>
    </row>
    <row r="25" spans="1:15">
      <c r="A25" s="119">
        <f t="shared" si="0"/>
        <v>10</v>
      </c>
      <c r="B25" s="190">
        <v>352</v>
      </c>
      <c r="C25" s="62" t="s">
        <v>272</v>
      </c>
      <c r="D25" s="181">
        <v>178417.75307480677</v>
      </c>
      <c r="E25" s="179">
        <v>0</v>
      </c>
      <c r="F25" s="179">
        <v>0</v>
      </c>
      <c r="G25" s="181">
        <v>-659.50825065986305</v>
      </c>
      <c r="H25" s="178">
        <v>0</v>
      </c>
      <c r="I25" s="179">
        <v>0</v>
      </c>
      <c r="J25" s="182">
        <v>-29862.490541050898</v>
      </c>
      <c r="K25" s="180">
        <f t="shared" si="3"/>
        <v>147895.754283096</v>
      </c>
      <c r="L25" s="158" t="s">
        <v>215</v>
      </c>
      <c r="M25" s="119">
        <f t="shared" si="1"/>
        <v>10</v>
      </c>
      <c r="O25" s="145"/>
    </row>
    <row r="26" spans="1:15">
      <c r="A26" s="119">
        <f t="shared" si="0"/>
        <v>11</v>
      </c>
      <c r="B26" s="190">
        <v>353</v>
      </c>
      <c r="C26" s="62" t="s">
        <v>275</v>
      </c>
      <c r="D26" s="181">
        <v>753016.49247165362</v>
      </c>
      <c r="E26" s="179">
        <v>0</v>
      </c>
      <c r="F26" s="179">
        <v>0</v>
      </c>
      <c r="G26" s="181">
        <v>-4722.7438212161023</v>
      </c>
      <c r="H26" s="178">
        <v>-700.2994833064505</v>
      </c>
      <c r="I26" s="179">
        <v>0</v>
      </c>
      <c r="J26" s="182">
        <v>-1893.5235277366114</v>
      </c>
      <c r="K26" s="180">
        <f t="shared" si="3"/>
        <v>745699.92563939444</v>
      </c>
      <c r="L26" s="158" t="s">
        <v>215</v>
      </c>
      <c r="M26" s="119">
        <f t="shared" si="1"/>
        <v>11</v>
      </c>
    </row>
    <row r="27" spans="1:15">
      <c r="A27" s="119">
        <f t="shared" si="0"/>
        <v>12</v>
      </c>
      <c r="B27" s="190">
        <v>354</v>
      </c>
      <c r="C27" s="62" t="s">
        <v>276</v>
      </c>
      <c r="D27" s="181">
        <v>324376.82897741447</v>
      </c>
      <c r="E27" s="179">
        <v>0</v>
      </c>
      <c r="F27" s="179">
        <v>0</v>
      </c>
      <c r="G27" s="181">
        <v>0</v>
      </c>
      <c r="H27" s="178">
        <v>0</v>
      </c>
      <c r="I27" s="179">
        <v>0</v>
      </c>
      <c r="J27" s="182">
        <v>0</v>
      </c>
      <c r="K27" s="180">
        <f t="shared" si="3"/>
        <v>324376.82897741447</v>
      </c>
      <c r="L27" s="158" t="s">
        <v>215</v>
      </c>
      <c r="M27" s="119">
        <f t="shared" si="1"/>
        <v>12</v>
      </c>
    </row>
    <row r="28" spans="1:15">
      <c r="A28" s="119">
        <f t="shared" si="0"/>
        <v>13</v>
      </c>
      <c r="B28" s="190">
        <v>355</v>
      </c>
      <c r="C28" s="62" t="s">
        <v>277</v>
      </c>
      <c r="D28" s="181">
        <v>289171.34153105889</v>
      </c>
      <c r="E28" s="179">
        <v>0</v>
      </c>
      <c r="F28" s="179">
        <v>0</v>
      </c>
      <c r="G28" s="181">
        <v>0</v>
      </c>
      <c r="H28" s="178">
        <v>0</v>
      </c>
      <c r="I28" s="179">
        <v>0</v>
      </c>
      <c r="J28" s="182">
        <v>0</v>
      </c>
      <c r="K28" s="180">
        <f t="shared" si="3"/>
        <v>289171.34153105889</v>
      </c>
      <c r="L28" s="158" t="s">
        <v>215</v>
      </c>
      <c r="M28" s="119">
        <f t="shared" si="1"/>
        <v>13</v>
      </c>
    </row>
    <row r="29" spans="1:15">
      <c r="A29" s="119">
        <f t="shared" si="0"/>
        <v>14</v>
      </c>
      <c r="B29" s="190">
        <v>356</v>
      </c>
      <c r="C29" s="62" t="s">
        <v>278</v>
      </c>
      <c r="D29" s="181">
        <v>334159.01997796044</v>
      </c>
      <c r="E29" s="179">
        <v>0</v>
      </c>
      <c r="F29" s="179">
        <v>0</v>
      </c>
      <c r="G29" s="181">
        <v>0</v>
      </c>
      <c r="H29" s="178">
        <v>0</v>
      </c>
      <c r="I29" s="179">
        <v>0</v>
      </c>
      <c r="J29" s="182">
        <v>0</v>
      </c>
      <c r="K29" s="180">
        <f t="shared" si="3"/>
        <v>334159.01997796044</v>
      </c>
      <c r="L29" s="158" t="s">
        <v>215</v>
      </c>
      <c r="M29" s="119">
        <f t="shared" si="1"/>
        <v>14</v>
      </c>
    </row>
    <row r="30" spans="1:15">
      <c r="A30" s="119">
        <f t="shared" si="0"/>
        <v>15</v>
      </c>
      <c r="B30" s="190">
        <v>357</v>
      </c>
      <c r="C30" s="62" t="s">
        <v>279</v>
      </c>
      <c r="D30" s="181">
        <v>143348.77712411463</v>
      </c>
      <c r="E30" s="179">
        <v>0</v>
      </c>
      <c r="F30" s="179">
        <v>0</v>
      </c>
      <c r="G30" s="181">
        <v>0</v>
      </c>
      <c r="H30" s="178">
        <v>0</v>
      </c>
      <c r="I30" s="179">
        <v>0</v>
      </c>
      <c r="J30" s="182">
        <v>0</v>
      </c>
      <c r="K30" s="180">
        <f t="shared" si="3"/>
        <v>143348.77712411463</v>
      </c>
      <c r="L30" s="158" t="s">
        <v>215</v>
      </c>
      <c r="M30" s="119">
        <f t="shared" si="1"/>
        <v>15</v>
      </c>
    </row>
    <row r="31" spans="1:15">
      <c r="A31" s="119">
        <f t="shared" si="0"/>
        <v>16</v>
      </c>
      <c r="B31" s="190">
        <v>358</v>
      </c>
      <c r="C31" s="62" t="s">
        <v>280</v>
      </c>
      <c r="D31" s="181">
        <v>141603.93200849576</v>
      </c>
      <c r="E31" s="179">
        <v>0</v>
      </c>
      <c r="F31" s="179">
        <v>0</v>
      </c>
      <c r="G31" s="181">
        <v>-688.163385937307</v>
      </c>
      <c r="H31" s="178">
        <v>0</v>
      </c>
      <c r="I31" s="179">
        <v>0</v>
      </c>
      <c r="J31" s="182">
        <v>0</v>
      </c>
      <c r="K31" s="180">
        <f t="shared" si="3"/>
        <v>140915.76862255845</v>
      </c>
      <c r="L31" s="158" t="s">
        <v>215</v>
      </c>
      <c r="M31" s="119">
        <f t="shared" si="1"/>
        <v>16</v>
      </c>
    </row>
    <row r="32" spans="1:15">
      <c r="A32" s="119">
        <f t="shared" si="0"/>
        <v>17</v>
      </c>
      <c r="B32" s="190">
        <v>359</v>
      </c>
      <c r="C32" s="62" t="s">
        <v>281</v>
      </c>
      <c r="D32" s="181">
        <v>74787.637850848667</v>
      </c>
      <c r="E32" s="179">
        <v>0</v>
      </c>
      <c r="F32" s="179">
        <v>0</v>
      </c>
      <c r="G32" s="181">
        <v>0</v>
      </c>
      <c r="H32" s="178">
        <v>0</v>
      </c>
      <c r="I32" s="179">
        <v>0</v>
      </c>
      <c r="J32" s="182">
        <v>0</v>
      </c>
      <c r="K32" s="180">
        <f t="shared" si="3"/>
        <v>74787.637850848667</v>
      </c>
      <c r="L32" s="158" t="s">
        <v>215</v>
      </c>
      <c r="M32" s="119">
        <f t="shared" si="1"/>
        <v>17</v>
      </c>
    </row>
    <row r="33" spans="1:13">
      <c r="A33" s="119">
        <f t="shared" si="0"/>
        <v>18</v>
      </c>
      <c r="B33" s="218"/>
      <c r="C33" s="133"/>
      <c r="D33" s="181"/>
      <c r="F33" s="1030"/>
      <c r="G33" s="1030"/>
      <c r="H33" s="1030"/>
      <c r="I33" s="1030"/>
      <c r="J33" s="182"/>
      <c r="K33" s="1140"/>
      <c r="L33" s="175"/>
      <c r="M33" s="119">
        <f t="shared" si="1"/>
        <v>18</v>
      </c>
    </row>
    <row r="34" spans="1:13">
      <c r="A34" s="119">
        <f t="shared" si="0"/>
        <v>19</v>
      </c>
      <c r="B34" s="1182" t="s">
        <v>273</v>
      </c>
      <c r="C34" s="1179" t="s">
        <v>239</v>
      </c>
      <c r="D34" s="1180">
        <f t="shared" ref="D34:I34" si="4">SUM(D24:D33)</f>
        <v>2275156.2541863527</v>
      </c>
      <c r="E34" s="1180">
        <f t="shared" si="4"/>
        <v>0</v>
      </c>
      <c r="F34" s="1180">
        <f>SUM(F24:F33)</f>
        <v>0</v>
      </c>
      <c r="G34" s="1180">
        <f t="shared" si="4"/>
        <v>-6070.415457813272</v>
      </c>
      <c r="H34" s="1180">
        <f t="shared" si="4"/>
        <v>-700.2994833064505</v>
      </c>
      <c r="I34" s="1180">
        <f t="shared" si="4"/>
        <v>0</v>
      </c>
      <c r="J34" s="1180">
        <f>SUM(J24:J33)</f>
        <v>-32166.497192011509</v>
      </c>
      <c r="K34" s="958">
        <f>SUM(K24:K33)</f>
        <v>2236219.0420532217</v>
      </c>
      <c r="L34" s="1183" t="str">
        <f>"Sum Lines "&amp;A24&amp;" thru "&amp;A32</f>
        <v>Sum Lines 9 thru 17</v>
      </c>
      <c r="M34" s="119">
        <f t="shared" si="1"/>
        <v>19</v>
      </c>
    </row>
    <row r="35" spans="1:13">
      <c r="A35" s="119">
        <f t="shared" si="0"/>
        <v>20</v>
      </c>
      <c r="B35" s="215"/>
      <c r="D35" s="136"/>
      <c r="J35" s="183"/>
      <c r="K35" s="183"/>
      <c r="L35" s="959"/>
      <c r="M35" s="119">
        <f t="shared" si="1"/>
        <v>20</v>
      </c>
    </row>
    <row r="36" spans="1:13">
      <c r="A36" s="119">
        <f t="shared" si="0"/>
        <v>21</v>
      </c>
      <c r="B36" s="1187" t="s">
        <v>282</v>
      </c>
      <c r="C36" s="960"/>
      <c r="D36" s="1185">
        <f t="shared" ref="D36:I36" si="5">D34+D22</f>
        <v>2275156.2541863527</v>
      </c>
      <c r="E36" s="1185">
        <f t="shared" si="5"/>
        <v>1.0564053960000002</v>
      </c>
      <c r="F36" s="1185">
        <f>F34+F22</f>
        <v>885.3166431779008</v>
      </c>
      <c r="G36" s="1185">
        <f t="shared" si="5"/>
        <v>-6070.415457813272</v>
      </c>
      <c r="H36" s="1185">
        <f t="shared" si="5"/>
        <v>-700.2994833064505</v>
      </c>
      <c r="I36" s="1186">
        <f t="shared" si="5"/>
        <v>0</v>
      </c>
      <c r="J36" s="1185">
        <f>J34+J22</f>
        <v>-32166.497192011509</v>
      </c>
      <c r="K36" s="1185">
        <f>K34+K22</f>
        <v>2237105.4151017955</v>
      </c>
      <c r="L36" s="1181" t="str">
        <f>"Line "&amp;A22&amp;" + Line "&amp;A34</f>
        <v>Line 7 + Line 19</v>
      </c>
      <c r="M36" s="119">
        <f t="shared" si="1"/>
        <v>21</v>
      </c>
    </row>
    <row r="37" spans="1:13">
      <c r="D37" s="136"/>
      <c r="K37" s="219"/>
      <c r="L37" s="219"/>
    </row>
    <row r="38" spans="1:13">
      <c r="D38" s="136"/>
      <c r="K38" s="219"/>
      <c r="L38" s="219"/>
    </row>
    <row r="39" spans="1:13">
      <c r="B39" s="136" t="s">
        <v>324</v>
      </c>
      <c r="D39" s="136"/>
    </row>
    <row r="40" spans="1:13">
      <c r="D40" s="136"/>
    </row>
    <row r="41" spans="1:13">
      <c r="D41" s="136"/>
    </row>
    <row r="42" spans="1:13">
      <c r="D42" s="136"/>
    </row>
    <row r="43" spans="1:13">
      <c r="D43" s="136"/>
    </row>
    <row r="44" spans="1:13">
      <c r="D44" s="136"/>
    </row>
    <row r="45" spans="1:13">
      <c r="D45" s="136"/>
    </row>
    <row r="46" spans="1:13">
      <c r="D46" s="136"/>
    </row>
    <row r="47" spans="1:13">
      <c r="D47" s="136"/>
    </row>
    <row r="48" spans="1:13">
      <c r="D48" s="136"/>
    </row>
    <row r="49" spans="4:4">
      <c r="D49" s="136"/>
    </row>
    <row r="50" spans="4:4">
      <c r="D50" s="136"/>
    </row>
    <row r="51" spans="4:4">
      <c r="D51" s="136"/>
    </row>
    <row r="52" spans="4:4">
      <c r="D52" s="136"/>
    </row>
    <row r="53" spans="4:4">
      <c r="D53" s="136"/>
    </row>
    <row r="54" spans="4:4">
      <c r="D54" s="136"/>
    </row>
    <row r="55" spans="4:4">
      <c r="D55" s="136"/>
    </row>
    <row r="56" spans="4:4">
      <c r="D56" s="136"/>
    </row>
    <row r="57" spans="4:4">
      <c r="D57" s="136"/>
    </row>
    <row r="58" spans="4:4">
      <c r="D58" s="136"/>
    </row>
    <row r="59" spans="4:4">
      <c r="D59" s="136"/>
    </row>
    <row r="60" spans="4:4">
      <c r="D60" s="136"/>
    </row>
    <row r="61" spans="4:4">
      <c r="D61" s="136"/>
    </row>
    <row r="62" spans="4:4">
      <c r="D62" s="136"/>
    </row>
    <row r="63" spans="4:4">
      <c r="D63" s="136"/>
    </row>
    <row r="64" spans="4:4">
      <c r="D64" s="136"/>
    </row>
    <row r="65" spans="4:4">
      <c r="D65" s="136"/>
    </row>
    <row r="66" spans="4:4">
      <c r="D66" s="136"/>
    </row>
    <row r="67" spans="4:4">
      <c r="D67" s="136"/>
    </row>
    <row r="68" spans="4:4">
      <c r="D68" s="136"/>
    </row>
    <row r="69" spans="4:4">
      <c r="D69" s="136"/>
    </row>
    <row r="70" spans="4:4">
      <c r="D70" s="136"/>
    </row>
    <row r="71" spans="4:4">
      <c r="D71" s="136"/>
    </row>
    <row r="72" spans="4:4">
      <c r="D72" s="136"/>
    </row>
    <row r="73" spans="4:4">
      <c r="D73" s="136"/>
    </row>
    <row r="74" spans="4:4">
      <c r="D74" s="136"/>
    </row>
    <row r="75" spans="4:4">
      <c r="D75" s="136"/>
    </row>
    <row r="76" spans="4:4">
      <c r="D76" s="136"/>
    </row>
    <row r="77" spans="4:4">
      <c r="D77" s="136"/>
    </row>
    <row r="78" spans="4:4">
      <c r="D78" s="136"/>
    </row>
    <row r="79" spans="4:4">
      <c r="D79" s="136"/>
    </row>
    <row r="80" spans="4:4">
      <c r="D80" s="136"/>
    </row>
    <row r="81" spans="4:4">
      <c r="D81" s="136"/>
    </row>
    <row r="82" spans="4:4">
      <c r="D82" s="136"/>
    </row>
    <row r="83" spans="4:4">
      <c r="D83" s="136"/>
    </row>
    <row r="84" spans="4:4">
      <c r="D84" s="136"/>
    </row>
    <row r="85" spans="4:4">
      <c r="D85" s="136"/>
    </row>
    <row r="86" spans="4:4">
      <c r="D86" s="136"/>
    </row>
    <row r="87" spans="4:4">
      <c r="D87" s="136"/>
    </row>
    <row r="88" spans="4:4">
      <c r="D88" s="136"/>
    </row>
    <row r="89" spans="4:4">
      <c r="D89" s="136"/>
    </row>
    <row r="90" spans="4:4">
      <c r="D90" s="136"/>
    </row>
    <row r="91" spans="4:4">
      <c r="D91" s="136"/>
    </row>
    <row r="92" spans="4:4">
      <c r="D92" s="136"/>
    </row>
    <row r="93" spans="4:4">
      <c r="D93" s="136"/>
    </row>
    <row r="94" spans="4:4">
      <c r="D94" s="136"/>
    </row>
    <row r="95" spans="4:4">
      <c r="D95" s="136"/>
    </row>
    <row r="96" spans="4:4">
      <c r="D96" s="136"/>
    </row>
    <row r="97" spans="4:4">
      <c r="D97" s="136"/>
    </row>
    <row r="98" spans="4:4">
      <c r="D98" s="136"/>
    </row>
    <row r="99" spans="4:4">
      <c r="D99" s="136"/>
    </row>
    <row r="100" spans="4:4">
      <c r="D100" s="136"/>
    </row>
    <row r="101" spans="4:4">
      <c r="D101" s="136"/>
    </row>
    <row r="102" spans="4:4">
      <c r="D102" s="136"/>
    </row>
    <row r="103" spans="4:4">
      <c r="D103" s="136"/>
    </row>
    <row r="104" spans="4:4">
      <c r="D104" s="136"/>
    </row>
    <row r="105" spans="4:4">
      <c r="D105" s="136"/>
    </row>
    <row r="106" spans="4:4">
      <c r="D106" s="136"/>
    </row>
    <row r="107" spans="4:4">
      <c r="D107" s="136"/>
    </row>
    <row r="108" spans="4:4">
      <c r="D108" s="136"/>
    </row>
    <row r="109" spans="4:4">
      <c r="D109" s="136"/>
    </row>
    <row r="110" spans="4:4">
      <c r="D110" s="136"/>
    </row>
    <row r="111" spans="4:4">
      <c r="D111" s="136"/>
    </row>
    <row r="112" spans="4:4">
      <c r="D112" s="136"/>
    </row>
    <row r="113" spans="4:4">
      <c r="D113" s="136"/>
    </row>
    <row r="114" spans="4:4">
      <c r="D114" s="136"/>
    </row>
    <row r="115" spans="4:4">
      <c r="D115" s="136"/>
    </row>
    <row r="116" spans="4:4">
      <c r="D116" s="136"/>
    </row>
    <row r="117" spans="4:4">
      <c r="D117" s="136"/>
    </row>
    <row r="118" spans="4:4">
      <c r="D118" s="136"/>
    </row>
    <row r="119" spans="4:4">
      <c r="D119" s="136"/>
    </row>
    <row r="120" spans="4:4">
      <c r="D120" s="136"/>
    </row>
    <row r="121" spans="4:4">
      <c r="D121" s="136"/>
    </row>
    <row r="122" spans="4:4">
      <c r="D122" s="136"/>
    </row>
    <row r="123" spans="4:4">
      <c r="D123" s="136"/>
    </row>
    <row r="124" spans="4:4">
      <c r="D124" s="136"/>
    </row>
    <row r="125" spans="4:4">
      <c r="D125" s="136"/>
    </row>
    <row r="126" spans="4:4">
      <c r="D126" s="136"/>
    </row>
    <row r="127" spans="4:4">
      <c r="D127" s="136"/>
    </row>
    <row r="128" spans="4:4">
      <c r="D128" s="136"/>
    </row>
    <row r="129" spans="4:4">
      <c r="D129" s="136"/>
    </row>
    <row r="130" spans="4:4">
      <c r="D130" s="136"/>
    </row>
    <row r="131" spans="4:4">
      <c r="D131" s="136"/>
    </row>
    <row r="132" spans="4:4">
      <c r="D132" s="136"/>
    </row>
    <row r="133" spans="4:4">
      <c r="D133" s="136"/>
    </row>
    <row r="134" spans="4:4">
      <c r="D134" s="136"/>
    </row>
    <row r="135" spans="4:4">
      <c r="D135" s="136"/>
    </row>
    <row r="136" spans="4:4">
      <c r="D136" s="136"/>
    </row>
    <row r="137" spans="4:4">
      <c r="D137" s="136"/>
    </row>
    <row r="138" spans="4:4">
      <c r="D138" s="136"/>
    </row>
    <row r="139" spans="4:4">
      <c r="D139" s="136"/>
    </row>
    <row r="140" spans="4:4">
      <c r="D140" s="136"/>
    </row>
    <row r="141" spans="4:4">
      <c r="D141" s="136"/>
    </row>
    <row r="142" spans="4:4">
      <c r="D142" s="136"/>
    </row>
    <row r="143" spans="4:4">
      <c r="D143" s="136"/>
    </row>
    <row r="144" spans="4:4">
      <c r="D144" s="136"/>
    </row>
    <row r="145" spans="4:4">
      <c r="D145" s="136"/>
    </row>
    <row r="146" spans="4:4">
      <c r="D146" s="136"/>
    </row>
    <row r="147" spans="4:4">
      <c r="D147" s="136"/>
    </row>
    <row r="148" spans="4:4">
      <c r="D148" s="136"/>
    </row>
    <row r="149" spans="4:4">
      <c r="D149" s="136"/>
    </row>
    <row r="150" spans="4:4">
      <c r="D150" s="136"/>
    </row>
    <row r="151" spans="4:4">
      <c r="D151" s="136"/>
    </row>
    <row r="152" spans="4:4">
      <c r="D152" s="136"/>
    </row>
    <row r="153" spans="4:4">
      <c r="D153" s="136"/>
    </row>
    <row r="154" spans="4:4">
      <c r="D154" s="136"/>
    </row>
    <row r="155" spans="4:4">
      <c r="D155" s="136"/>
    </row>
    <row r="156" spans="4:4">
      <c r="D156" s="136"/>
    </row>
    <row r="157" spans="4:4">
      <c r="D157" s="136"/>
    </row>
    <row r="158" spans="4:4">
      <c r="D158" s="136"/>
    </row>
    <row r="159" spans="4:4">
      <c r="D159" s="136"/>
    </row>
    <row r="160" spans="4:4">
      <c r="D160" s="136"/>
    </row>
    <row r="161" spans="4:4">
      <c r="D161" s="136"/>
    </row>
    <row r="162" spans="4:4">
      <c r="D162" s="136"/>
    </row>
    <row r="163" spans="4:4">
      <c r="D163" s="136"/>
    </row>
    <row r="164" spans="4:4">
      <c r="D164" s="136"/>
    </row>
    <row r="165" spans="4:4">
      <c r="D165" s="136"/>
    </row>
    <row r="166" spans="4:4">
      <c r="D166" s="136"/>
    </row>
    <row r="167" spans="4:4">
      <c r="D167" s="136"/>
    </row>
    <row r="168" spans="4:4">
      <c r="D168" s="136"/>
    </row>
    <row r="169" spans="4:4">
      <c r="D169" s="136"/>
    </row>
    <row r="170" spans="4:4">
      <c r="D170" s="136"/>
    </row>
    <row r="171" spans="4:4">
      <c r="D171" s="136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G41"/>
  <sheetViews>
    <sheetView zoomScale="80" zoomScaleNormal="80" workbookViewId="0">
      <selection activeCell="J41" sqref="J41"/>
    </sheetView>
  </sheetViews>
  <sheetFormatPr defaultColWidth="9.140625" defaultRowHeight="15.75"/>
  <cols>
    <col min="1" max="1" width="5.140625" style="109" customWidth="1"/>
    <col min="2" max="2" width="46.42578125" style="110" customWidth="1"/>
    <col min="3" max="3" width="23.5703125" style="110" customWidth="1"/>
    <col min="4" max="4" width="50.5703125" style="110" customWidth="1"/>
    <col min="5" max="5" width="5.140625" style="109" customWidth="1"/>
    <col min="6" max="6" width="11" style="110" customWidth="1"/>
    <col min="7" max="7" width="7.140625" style="110" customWidth="1"/>
    <col min="8" max="8" width="9.5703125" style="110" bestFit="1" customWidth="1"/>
    <col min="9" max="9" width="14" style="110" customWidth="1"/>
    <col min="10" max="10" width="13.42578125" style="110" customWidth="1"/>
    <col min="11" max="16384" width="9.140625" style="110"/>
  </cols>
  <sheetData>
    <row r="2" spans="1:7">
      <c r="B2" s="1287" t="s">
        <v>0</v>
      </c>
      <c r="C2" s="1287"/>
      <c r="D2" s="1287"/>
    </row>
    <row r="3" spans="1:7">
      <c r="B3" s="1287" t="s">
        <v>310</v>
      </c>
      <c r="C3" s="1287"/>
      <c r="D3" s="1287"/>
    </row>
    <row r="4" spans="1:7">
      <c r="B4" s="1287" t="s">
        <v>311</v>
      </c>
      <c r="C4" s="1287"/>
      <c r="D4" s="1287"/>
    </row>
    <row r="5" spans="1:7">
      <c r="B5" s="1287" t="str">
        <f>"BASE PERIOD / TRUE UP PERIOD - 12/31/"&amp;Automation!$B$3&amp;" PER BOOK"</f>
        <v>BASE PERIOD / TRUE UP PERIOD - 12/31/2024 PER BOOK</v>
      </c>
      <c r="C5" s="1287"/>
      <c r="D5" s="1287"/>
    </row>
    <row r="6" spans="1:7">
      <c r="B6" s="1291" t="s">
        <v>3</v>
      </c>
      <c r="C6" s="1291"/>
      <c r="D6" s="1291"/>
    </row>
    <row r="7" spans="1:7">
      <c r="B7" s="111"/>
      <c r="C7" s="111"/>
      <c r="D7" s="111"/>
    </row>
    <row r="8" spans="1:7">
      <c r="B8" s="1287" t="s">
        <v>288</v>
      </c>
      <c r="C8" s="1287"/>
      <c r="D8" s="1287"/>
    </row>
    <row r="9" spans="1:7">
      <c r="A9" s="119"/>
    </row>
    <row r="10" spans="1:7">
      <c r="A10" s="119"/>
      <c r="B10" s="528"/>
      <c r="C10" s="962" t="s">
        <v>289</v>
      </c>
      <c r="D10" s="964"/>
      <c r="E10" s="119"/>
    </row>
    <row r="11" spans="1:7">
      <c r="A11" s="119" t="s">
        <v>4</v>
      </c>
      <c r="B11" s="171"/>
      <c r="C11" s="116" t="s">
        <v>325</v>
      </c>
      <c r="D11" s="118"/>
      <c r="E11" s="119" t="s">
        <v>4</v>
      </c>
    </row>
    <row r="12" spans="1:7">
      <c r="A12" s="119" t="s">
        <v>5</v>
      </c>
      <c r="B12" s="1015" t="s">
        <v>123</v>
      </c>
      <c r="C12" s="1012" t="s">
        <v>175</v>
      </c>
      <c r="D12" s="1012" t="s">
        <v>8</v>
      </c>
      <c r="E12" s="119" t="s">
        <v>5</v>
      </c>
    </row>
    <row r="13" spans="1:7">
      <c r="A13" s="119"/>
      <c r="B13" s="195"/>
      <c r="C13" s="196"/>
      <c r="D13" s="205"/>
      <c r="E13" s="119"/>
    </row>
    <row r="14" spans="1:7">
      <c r="A14" s="119">
        <v>1</v>
      </c>
      <c r="B14" s="198" t="str">
        <f>"Dec-"&amp;RIGHT(Automation!$B$3-1,2)</f>
        <v>Dec-23</v>
      </c>
      <c r="C14" s="199">
        <v>76610.14694999998</v>
      </c>
      <c r="D14" s="157" t="str">
        <f>Automation!B3-1&amp;" Form 1; Page 200-201; Footnote Data (b)"</f>
        <v>2023 Form 1; Page 200-201; Footnote Data (b)</v>
      </c>
      <c r="E14" s="119">
        <f>A14</f>
        <v>1</v>
      </c>
      <c r="F14" s="126"/>
    </row>
    <row r="15" spans="1:7">
      <c r="A15" s="119">
        <f>A14+1</f>
        <v>2</v>
      </c>
      <c r="B15" s="200"/>
      <c r="C15" s="160"/>
      <c r="D15" s="160"/>
      <c r="E15" s="119">
        <f>E14+1</f>
        <v>2</v>
      </c>
    </row>
    <row r="16" spans="1:7">
      <c r="A16" s="119">
        <f t="shared" ref="A16:A20" si="0">A15+1</f>
        <v>3</v>
      </c>
      <c r="B16" s="198" t="str">
        <f>"Dec-"&amp;RIGHT(Automation!$B$3,2)</f>
        <v>Dec-24</v>
      </c>
      <c r="C16" s="181">
        <v>96781.857920000039</v>
      </c>
      <c r="D16" s="157" t="str">
        <f>Automation!B3&amp;" Form 1; Page 200-201; Footnote Data (b)"</f>
        <v>2024 Form 1; Page 200-201; Footnote Data (b)</v>
      </c>
      <c r="E16" s="119">
        <f t="shared" ref="E16:E20" si="1">E15+1</f>
        <v>3</v>
      </c>
      <c r="F16" s="418"/>
      <c r="G16" s="155"/>
    </row>
    <row r="17" spans="1:5">
      <c r="A17" s="119">
        <f t="shared" si="0"/>
        <v>4</v>
      </c>
      <c r="B17" s="215"/>
      <c r="C17" s="1124"/>
      <c r="D17" s="1124"/>
      <c r="E17" s="119">
        <f t="shared" si="1"/>
        <v>4</v>
      </c>
    </row>
    <row r="18" spans="1:5">
      <c r="A18" s="119">
        <f t="shared" si="0"/>
        <v>5</v>
      </c>
      <c r="B18" s="528"/>
      <c r="C18" s="196"/>
      <c r="D18" s="205"/>
      <c r="E18" s="119">
        <f t="shared" si="1"/>
        <v>5</v>
      </c>
    </row>
    <row r="19" spans="1:5">
      <c r="A19" s="119">
        <f t="shared" si="0"/>
        <v>6</v>
      </c>
      <c r="B19" s="201" t="s">
        <v>238</v>
      </c>
      <c r="C19" s="202">
        <f>(C14+C16)/2</f>
        <v>86696.002435000002</v>
      </c>
      <c r="D19" s="207" t="str">
        <f>"Average of Line "&amp;A14&amp;" and Line "&amp;A16</f>
        <v>Average of Line 1 and Line 3</v>
      </c>
      <c r="E19" s="119">
        <f t="shared" si="1"/>
        <v>6</v>
      </c>
    </row>
    <row r="20" spans="1:5">
      <c r="A20" s="119">
        <f t="shared" si="0"/>
        <v>7</v>
      </c>
      <c r="B20" s="1133"/>
      <c r="C20" s="1038"/>
      <c r="D20" s="1014"/>
      <c r="E20" s="119">
        <f t="shared" si="1"/>
        <v>7</v>
      </c>
    </row>
    <row r="21" spans="1:5">
      <c r="A21" s="119"/>
      <c r="B21" s="136"/>
      <c r="C21" s="204"/>
      <c r="D21" s="136"/>
      <c r="E21" s="119"/>
    </row>
    <row r="22" spans="1:5">
      <c r="A22" s="119"/>
      <c r="B22" s="136"/>
      <c r="C22" s="136"/>
      <c r="D22" s="136"/>
    </row>
    <row r="23" spans="1:5">
      <c r="A23"/>
      <c r="B23"/>
      <c r="C23" s="136"/>
      <c r="D23" s="136"/>
    </row>
    <row r="24" spans="1:5">
      <c r="A24"/>
      <c r="B24"/>
      <c r="C24" s="136"/>
      <c r="D24" s="136"/>
    </row>
    <row r="25" spans="1:5">
      <c r="A25"/>
      <c r="B25"/>
      <c r="C25" s="136"/>
      <c r="D25" s="136"/>
    </row>
    <row r="26" spans="1:5">
      <c r="B26" s="136"/>
      <c r="C26" s="136"/>
      <c r="D26" s="136"/>
    </row>
    <row r="27" spans="1:5">
      <c r="B27" s="136"/>
      <c r="C27" s="136"/>
      <c r="D27" s="136"/>
    </row>
    <row r="28" spans="1:5">
      <c r="B28" s="136"/>
      <c r="C28" s="136"/>
      <c r="D28" s="136"/>
    </row>
    <row r="29" spans="1:5">
      <c r="B29" s="136"/>
      <c r="C29" s="136"/>
      <c r="D29" s="136"/>
    </row>
    <row r="30" spans="1:5">
      <c r="B30" s="136"/>
      <c r="C30" s="136"/>
      <c r="D30" s="136"/>
    </row>
    <row r="31" spans="1:5">
      <c r="B31" s="136"/>
      <c r="C31" s="136"/>
      <c r="D31" s="136"/>
    </row>
    <row r="32" spans="1:5">
      <c r="B32" s="136"/>
      <c r="C32" s="136"/>
      <c r="D32" s="136"/>
    </row>
    <row r="33" spans="1:5">
      <c r="B33" s="136"/>
      <c r="C33" s="136"/>
      <c r="D33" s="136"/>
    </row>
    <row r="34" spans="1:5">
      <c r="B34" s="136"/>
      <c r="C34" s="136"/>
      <c r="D34" s="136"/>
    </row>
    <row r="35" spans="1:5" s="136" customFormat="1">
      <c r="A35" s="119"/>
      <c r="E35" s="119"/>
    </row>
    <row r="36" spans="1:5" s="136" customFormat="1">
      <c r="A36" s="119"/>
      <c r="E36" s="119"/>
    </row>
    <row r="37" spans="1:5" s="136" customFormat="1">
      <c r="A37" s="119"/>
      <c r="E37" s="119"/>
    </row>
    <row r="38" spans="1:5" s="136" customFormat="1">
      <c r="A38" s="119"/>
      <c r="E38" s="119"/>
    </row>
    <row r="39" spans="1:5" s="136" customFormat="1">
      <c r="A39" s="119"/>
      <c r="E39" s="119"/>
    </row>
    <row r="40" spans="1:5" s="136" customFormat="1">
      <c r="A40" s="119"/>
      <c r="E40" s="119"/>
    </row>
    <row r="41" spans="1:5" s="136" customFormat="1">
      <c r="A41" s="119"/>
      <c r="E41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7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I41"/>
  <sheetViews>
    <sheetView zoomScale="80" zoomScaleNormal="80" workbookViewId="0">
      <selection activeCell="D27" sqref="D27"/>
    </sheetView>
  </sheetViews>
  <sheetFormatPr defaultColWidth="9.140625" defaultRowHeight="15.75"/>
  <cols>
    <col min="1" max="1" width="5.140625" style="109" customWidth="1"/>
    <col min="2" max="2" width="44.42578125" style="110" customWidth="1"/>
    <col min="3" max="3" width="21.42578125" style="110" customWidth="1"/>
    <col min="4" max="4" width="59.42578125" style="110" customWidth="1"/>
    <col min="5" max="5" width="5.140625" style="109" customWidth="1"/>
    <col min="6" max="6" width="11" style="110" customWidth="1"/>
    <col min="7" max="7" width="7.140625" style="110" customWidth="1"/>
    <col min="8" max="8" width="9.5703125" style="110" bestFit="1" customWidth="1"/>
    <col min="9" max="9" width="14" style="110" customWidth="1"/>
    <col min="10" max="10" width="13.42578125" style="110" customWidth="1"/>
    <col min="11" max="16384" width="9.140625" style="110"/>
  </cols>
  <sheetData>
    <row r="2" spans="1:9">
      <c r="B2" s="1287" t="s">
        <v>0</v>
      </c>
      <c r="C2" s="1287"/>
      <c r="D2" s="1287"/>
    </row>
    <row r="3" spans="1:9">
      <c r="B3" s="1287" t="s">
        <v>310</v>
      </c>
      <c r="C3" s="1287"/>
      <c r="D3" s="1287"/>
    </row>
    <row r="4" spans="1:9">
      <c r="B4" s="1287" t="s">
        <v>311</v>
      </c>
      <c r="C4" s="1287"/>
      <c r="D4" s="1287"/>
    </row>
    <row r="5" spans="1:9">
      <c r="B5" s="1287" t="str">
        <f>"BASE PERIOD / TRUE UP PERIOD - 12/31/"&amp;Automation!$B$3&amp;" PER BOOK"</f>
        <v>BASE PERIOD / TRUE UP PERIOD - 12/31/2024 PER BOOK</v>
      </c>
      <c r="C5" s="1287"/>
      <c r="D5" s="1287"/>
    </row>
    <row r="6" spans="1:9">
      <c r="B6" s="1291" t="s">
        <v>3</v>
      </c>
      <c r="C6" s="1291"/>
      <c r="D6" s="1291"/>
    </row>
    <row r="7" spans="1:9">
      <c r="B7" s="111"/>
      <c r="C7" s="111"/>
      <c r="D7" s="111"/>
    </row>
    <row r="8" spans="1:9">
      <c r="A8" s="119"/>
      <c r="B8" s="1287" t="s">
        <v>291</v>
      </c>
      <c r="C8" s="1287"/>
      <c r="D8" s="1287"/>
    </row>
    <row r="9" spans="1:9">
      <c r="A9" s="119"/>
      <c r="E9" s="119"/>
    </row>
    <row r="10" spans="1:9">
      <c r="A10" s="119"/>
      <c r="B10" s="528"/>
      <c r="C10" s="968" t="s">
        <v>289</v>
      </c>
      <c r="D10" s="964"/>
      <c r="E10" s="119"/>
    </row>
    <row r="11" spans="1:9">
      <c r="A11" s="119" t="s">
        <v>4</v>
      </c>
      <c r="B11" s="171"/>
      <c r="C11" s="116" t="s">
        <v>326</v>
      </c>
      <c r="D11" s="118"/>
      <c r="E11" s="119" t="s">
        <v>4</v>
      </c>
    </row>
    <row r="12" spans="1:9">
      <c r="A12" s="119" t="s">
        <v>5</v>
      </c>
      <c r="B12" s="1015" t="s">
        <v>123</v>
      </c>
      <c r="C12" s="1012" t="s">
        <v>175</v>
      </c>
      <c r="D12" s="1012" t="s">
        <v>8</v>
      </c>
      <c r="E12" s="119" t="s">
        <v>5</v>
      </c>
    </row>
    <row r="13" spans="1:9">
      <c r="A13" s="119"/>
      <c r="B13" s="195"/>
      <c r="C13" s="196"/>
      <c r="D13" s="205"/>
      <c r="E13" s="119"/>
    </row>
    <row r="14" spans="1:9">
      <c r="A14" s="119">
        <v>1</v>
      </c>
      <c r="B14" s="198" t="str">
        <f>"Dec-"&amp;RIGHT(Automation!$B$3-1,2)</f>
        <v>Dec-23</v>
      </c>
      <c r="C14" s="199">
        <v>268071.91264152038</v>
      </c>
      <c r="D14" s="157" t="str">
        <f>Automation!B3-1&amp;" Form 1; Page 200-201; Footnote Data (b)"</f>
        <v>2023 Form 1; Page 200-201; Footnote Data (b)</v>
      </c>
      <c r="E14" s="119">
        <f>A14</f>
        <v>1</v>
      </c>
      <c r="F14" s="126"/>
      <c r="H14" s="418"/>
      <c r="I14" s="1202"/>
    </row>
    <row r="15" spans="1:9">
      <c r="A15" s="119">
        <f>A14+1</f>
        <v>2</v>
      </c>
      <c r="B15" s="200"/>
      <c r="C15" s="160"/>
      <c r="D15" s="160"/>
      <c r="E15" s="119">
        <f>E14+1</f>
        <v>2</v>
      </c>
    </row>
    <row r="16" spans="1:9">
      <c r="A16" s="119">
        <f t="shared" ref="A16:A20" si="0">A15+1</f>
        <v>3</v>
      </c>
      <c r="B16" s="198" t="str">
        <f>"Dec-"&amp;RIGHT(Automation!$B$3,2)</f>
        <v>Dec-24</v>
      </c>
      <c r="C16" s="181">
        <v>295030.92501313915</v>
      </c>
      <c r="D16" s="157" t="str">
        <f>Automation!B3&amp;" Form 1; Page 200-201; Footnote Data (b)"</f>
        <v>2024 Form 1; Page 200-201; Footnote Data (b)</v>
      </c>
      <c r="E16" s="119">
        <f t="shared" ref="E16:E20" si="1">E15+1</f>
        <v>3</v>
      </c>
      <c r="F16" s="126"/>
    </row>
    <row r="17" spans="1:6">
      <c r="A17" s="119">
        <f t="shared" si="0"/>
        <v>4</v>
      </c>
      <c r="B17" s="1133"/>
      <c r="C17" s="1141"/>
      <c r="D17" s="1122"/>
      <c r="E17" s="119">
        <f t="shared" si="1"/>
        <v>4</v>
      </c>
    </row>
    <row r="18" spans="1:6">
      <c r="A18" s="119">
        <f t="shared" si="0"/>
        <v>5</v>
      </c>
      <c r="B18" s="201"/>
      <c r="C18" s="196"/>
      <c r="D18" s="205"/>
      <c r="E18" s="119">
        <f t="shared" si="1"/>
        <v>5</v>
      </c>
    </row>
    <row r="19" spans="1:6">
      <c r="A19" s="119">
        <f t="shared" si="0"/>
        <v>6</v>
      </c>
      <c r="B19" s="201" t="s">
        <v>238</v>
      </c>
      <c r="C19" s="202">
        <f>(C14+C16)/2</f>
        <v>281551.41882732976</v>
      </c>
      <c r="D19" s="207" t="str">
        <f>"Average of Line "&amp;A14&amp;" and Line "&amp;A16</f>
        <v>Average of Line 1 and Line 3</v>
      </c>
      <c r="E19" s="119">
        <f t="shared" si="1"/>
        <v>6</v>
      </c>
    </row>
    <row r="20" spans="1:6">
      <c r="A20" s="119">
        <f t="shared" si="0"/>
        <v>7</v>
      </c>
      <c r="B20" s="1133"/>
      <c r="C20" s="1038"/>
      <c r="D20" s="1014"/>
      <c r="E20" s="119">
        <f t="shared" si="1"/>
        <v>7</v>
      </c>
    </row>
    <row r="21" spans="1:6">
      <c r="A21" s="119"/>
      <c r="B21" s="136"/>
      <c r="C21" s="204"/>
      <c r="D21" s="136"/>
      <c r="E21" s="119"/>
    </row>
    <row r="22" spans="1:6">
      <c r="A22" s="119"/>
      <c r="B22" s="136"/>
      <c r="C22" s="136"/>
      <c r="D22" s="136"/>
    </row>
    <row r="23" spans="1:6" ht="18.75">
      <c r="A23" s="135"/>
      <c r="B23" s="136"/>
      <c r="C23" s="136"/>
      <c r="D23" s="136"/>
    </row>
    <row r="24" spans="1:6">
      <c r="B24" s="136"/>
      <c r="C24" s="136"/>
      <c r="D24" s="136"/>
    </row>
    <row r="25" spans="1:6">
      <c r="B25" s="136"/>
      <c r="C25" s="136"/>
      <c r="D25" s="136"/>
    </row>
    <row r="26" spans="1:6">
      <c r="B26" s="136"/>
      <c r="C26" s="136"/>
      <c r="D26" s="136"/>
      <c r="F26" s="193"/>
    </row>
    <row r="27" spans="1:6">
      <c r="B27" s="136"/>
      <c r="C27" s="136"/>
      <c r="D27" s="136"/>
    </row>
    <row r="28" spans="1:6">
      <c r="B28" s="136"/>
      <c r="C28" s="136"/>
      <c r="D28" s="136"/>
    </row>
    <row r="29" spans="1:6">
      <c r="B29" s="136"/>
      <c r="C29" s="136"/>
      <c r="D29" s="136"/>
    </row>
    <row r="30" spans="1:6">
      <c r="B30" s="136"/>
      <c r="C30" s="136"/>
      <c r="D30" s="136"/>
    </row>
    <row r="31" spans="1:6">
      <c r="B31" s="136"/>
      <c r="C31" s="136"/>
      <c r="D31" s="136"/>
    </row>
    <row r="32" spans="1:6">
      <c r="B32" s="136"/>
      <c r="C32" s="136"/>
      <c r="D32" s="136"/>
    </row>
    <row r="33" spans="1:5">
      <c r="B33" s="136"/>
      <c r="C33" s="136"/>
      <c r="D33" s="136"/>
    </row>
    <row r="34" spans="1:5">
      <c r="B34" s="136"/>
      <c r="C34" s="136"/>
      <c r="D34" s="136"/>
    </row>
    <row r="35" spans="1:5" s="136" customFormat="1">
      <c r="A35" s="119"/>
      <c r="E35" s="119"/>
    </row>
    <row r="36" spans="1:5" s="136" customFormat="1">
      <c r="A36" s="119"/>
      <c r="E36" s="119"/>
    </row>
    <row r="37" spans="1:5" s="136" customFormat="1">
      <c r="A37" s="119"/>
      <c r="E37" s="119"/>
    </row>
    <row r="38" spans="1:5" s="136" customFormat="1">
      <c r="A38" s="119"/>
      <c r="E38" s="119"/>
    </row>
    <row r="39" spans="1:5" s="136" customFormat="1">
      <c r="A39" s="119"/>
      <c r="E39" s="119"/>
    </row>
    <row r="40" spans="1:5" s="136" customFormat="1">
      <c r="A40" s="119"/>
      <c r="E40" s="119"/>
    </row>
    <row r="41" spans="1:5" s="136" customFormat="1">
      <c r="A41" s="119"/>
      <c r="E41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G27"/>
  <sheetViews>
    <sheetView zoomScale="80" zoomScaleNormal="80" workbookViewId="0">
      <selection activeCell="K33" sqref="K33"/>
    </sheetView>
  </sheetViews>
  <sheetFormatPr defaultColWidth="9.140625" defaultRowHeight="15.75"/>
  <cols>
    <col min="1" max="1" width="5.140625" style="109" customWidth="1"/>
    <col min="2" max="2" width="8.5703125" style="110" customWidth="1"/>
    <col min="3" max="3" width="41.140625" style="110" customWidth="1"/>
    <col min="4" max="4" width="18.5703125" style="110" customWidth="1"/>
    <col min="5" max="5" width="62.5703125" style="110" customWidth="1"/>
    <col min="6" max="6" width="5.140625" style="109" customWidth="1"/>
    <col min="7" max="7" width="24" style="110" customWidth="1"/>
    <col min="8" max="8" width="11" style="110" customWidth="1"/>
    <col min="9" max="9" width="7.140625" style="110" customWidth="1"/>
    <col min="10" max="10" width="9.140625" style="110" customWidth="1"/>
    <col min="11" max="11" width="14" style="110" customWidth="1"/>
    <col min="12" max="12" width="13.42578125" style="110" customWidth="1"/>
    <col min="13" max="16384" width="9.140625" style="110"/>
  </cols>
  <sheetData>
    <row r="2" spans="1:7">
      <c r="B2" s="1287" t="s">
        <v>0</v>
      </c>
      <c r="C2" s="1287"/>
      <c r="D2" s="1287"/>
      <c r="E2" s="1287"/>
    </row>
    <row r="3" spans="1:7">
      <c r="B3" s="1287" t="s">
        <v>310</v>
      </c>
      <c r="C3" s="1287"/>
      <c r="D3" s="1287"/>
      <c r="E3" s="1287"/>
    </row>
    <row r="4" spans="1:7">
      <c r="B4" s="1287" t="s">
        <v>311</v>
      </c>
      <c r="C4" s="1287"/>
      <c r="D4" s="1287"/>
      <c r="E4" s="1287"/>
    </row>
    <row r="5" spans="1:7">
      <c r="B5" s="1287" t="str">
        <f>"BASE PERIOD / TRUE UP PERIOD - 12/31/"&amp;Automation!$B$3&amp;" PER BOOK"</f>
        <v>BASE PERIOD / TRUE UP PERIOD - 12/31/2024 PER BOOK</v>
      </c>
      <c r="C5" s="1287"/>
      <c r="D5" s="1287"/>
      <c r="E5" s="1287"/>
    </row>
    <row r="6" spans="1:7">
      <c r="B6" s="1291" t="s">
        <v>3</v>
      </c>
      <c r="C6" s="1291"/>
      <c r="D6" s="1291"/>
      <c r="E6" s="1291"/>
    </row>
    <row r="7" spans="1:7">
      <c r="B7" s="111"/>
      <c r="C7" s="111"/>
      <c r="D7" s="111"/>
      <c r="E7" s="111"/>
      <c r="G7"/>
    </row>
    <row r="8" spans="1:7">
      <c r="B8" s="1287" t="s">
        <v>293</v>
      </c>
      <c r="C8" s="1287"/>
      <c r="D8" s="1287"/>
      <c r="E8" s="1287"/>
    </row>
    <row r="9" spans="1:7">
      <c r="A9" s="119"/>
      <c r="F9" s="119"/>
    </row>
    <row r="10" spans="1:7">
      <c r="A10" s="119" t="s">
        <v>4</v>
      </c>
      <c r="B10" s="524"/>
      <c r="C10" s="524"/>
      <c r="D10" s="525"/>
      <c r="E10" s="962"/>
      <c r="F10" s="119" t="s">
        <v>4</v>
      </c>
    </row>
    <row r="11" spans="1:7">
      <c r="A11" s="119" t="s">
        <v>5</v>
      </c>
      <c r="B11" s="1015" t="s">
        <v>123</v>
      </c>
      <c r="C11" s="1015" t="s">
        <v>261</v>
      </c>
      <c r="D11" s="1015" t="s">
        <v>7</v>
      </c>
      <c r="E11" s="1012" t="s">
        <v>8</v>
      </c>
      <c r="F11" s="119" t="s">
        <v>5</v>
      </c>
    </row>
    <row r="12" spans="1:7">
      <c r="A12" s="119"/>
      <c r="B12" s="965"/>
      <c r="C12" s="965"/>
      <c r="D12" s="965"/>
      <c r="E12" s="966"/>
      <c r="F12" s="119"/>
    </row>
    <row r="13" spans="1:7">
      <c r="A13" s="119">
        <v>1</v>
      </c>
      <c r="B13" s="198" t="str">
        <f>"Dec-"&amp;RIGHT(Automation!$B$3-1,2)</f>
        <v>Dec-23</v>
      </c>
      <c r="C13" s="198" t="s">
        <v>294</v>
      </c>
      <c r="D13" s="969">
        <v>1023506.296</v>
      </c>
      <c r="E13" s="527" t="str">
        <f>Automation!B3-1&amp;" Form 1; Page 356; Accts 303 to 398"</f>
        <v>2023 Form 1; Page 356; Accts 303 to 398</v>
      </c>
      <c r="F13" s="119">
        <f>A13</f>
        <v>1</v>
      </c>
    </row>
    <row r="14" spans="1:7">
      <c r="A14" s="119">
        <f>A13+1</f>
        <v>2</v>
      </c>
      <c r="B14" s="198"/>
      <c r="C14" s="198" t="s">
        <v>295</v>
      </c>
      <c r="D14" s="1016">
        <v>0.73899999999999999</v>
      </c>
      <c r="E14" s="539" t="str">
        <f>Automation!B3-1&amp;" Form 1; Page 356; Electric"</f>
        <v>2023 Form 1; Page 356; Electric</v>
      </c>
      <c r="F14" s="119">
        <f>F13+1</f>
        <v>2</v>
      </c>
      <c r="G14" s="418"/>
    </row>
    <row r="15" spans="1:7">
      <c r="A15" s="119">
        <f t="shared" ref="A15:A23" si="0">A14+1</f>
        <v>3</v>
      </c>
      <c r="B15" s="198"/>
      <c r="C15" s="198" t="s">
        <v>327</v>
      </c>
      <c r="D15" s="529">
        <f>D13*D14</f>
        <v>756371.15274399996</v>
      </c>
      <c r="E15" s="157" t="str">
        <f>"Line "&amp;A13&amp;" x Line "&amp;A14</f>
        <v>Line 1 x Line 2</v>
      </c>
      <c r="F15" s="119">
        <f t="shared" ref="F15:F23" si="1">F14+1</f>
        <v>3</v>
      </c>
      <c r="G15" s="418"/>
    </row>
    <row r="16" spans="1:7">
      <c r="A16" s="119">
        <f t="shared" si="0"/>
        <v>4</v>
      </c>
      <c r="B16" s="198"/>
      <c r="C16" s="198"/>
      <c r="D16" s="529"/>
      <c r="E16" s="157"/>
      <c r="F16" s="119">
        <f t="shared" si="1"/>
        <v>4</v>
      </c>
      <c r="G16" s="418"/>
    </row>
    <row r="17" spans="1:7">
      <c r="A17" s="119">
        <f t="shared" si="0"/>
        <v>5</v>
      </c>
      <c r="B17" s="198" t="str">
        <f>"Dec-"&amp;RIGHT(Automation!$B$3,2)</f>
        <v>Dec-24</v>
      </c>
      <c r="C17" s="198" t="s">
        <v>294</v>
      </c>
      <c r="D17" s="969">
        <v>1184707.0149999999</v>
      </c>
      <c r="E17" s="527" t="s">
        <v>1017</v>
      </c>
      <c r="F17" s="119">
        <f t="shared" si="1"/>
        <v>5</v>
      </c>
      <c r="G17" s="418"/>
    </row>
    <row r="18" spans="1:7">
      <c r="A18" s="119">
        <f t="shared" si="0"/>
        <v>6</v>
      </c>
      <c r="B18" s="198"/>
      <c r="C18" s="198" t="s">
        <v>295</v>
      </c>
      <c r="D18" s="1016">
        <v>0.73870000000000002</v>
      </c>
      <c r="E18" s="539" t="s">
        <v>1018</v>
      </c>
      <c r="F18" s="119">
        <f t="shared" si="1"/>
        <v>6</v>
      </c>
      <c r="G18" s="413"/>
    </row>
    <row r="19" spans="1:7">
      <c r="A19" s="119">
        <f t="shared" si="0"/>
        <v>7</v>
      </c>
      <c r="B19" s="198"/>
      <c r="C19" s="198" t="s">
        <v>327</v>
      </c>
      <c r="D19" s="529">
        <f>D17*D18</f>
        <v>875143.0719804999</v>
      </c>
      <c r="E19" s="157" t="str">
        <f>"Line "&amp;A17&amp;" x Line "&amp;A18</f>
        <v>Line 5 x Line 6</v>
      </c>
      <c r="F19" s="119">
        <f t="shared" si="1"/>
        <v>7</v>
      </c>
      <c r="G19" s="418"/>
    </row>
    <row r="20" spans="1:7">
      <c r="A20" s="119">
        <f t="shared" si="0"/>
        <v>8</v>
      </c>
      <c r="B20" s="1017"/>
      <c r="C20" s="1015"/>
      <c r="D20" s="1142"/>
      <c r="E20" s="1018"/>
      <c r="F20" s="119">
        <f t="shared" si="1"/>
        <v>8</v>
      </c>
      <c r="G20" s="418"/>
    </row>
    <row r="21" spans="1:7">
      <c r="A21" s="119">
        <f t="shared" si="0"/>
        <v>9</v>
      </c>
      <c r="B21" s="528"/>
      <c r="D21" s="201"/>
      <c r="E21" s="130"/>
      <c r="F21" s="119">
        <f t="shared" si="1"/>
        <v>9</v>
      </c>
      <c r="G21" s="418"/>
    </row>
    <row r="22" spans="1:7">
      <c r="A22" s="119">
        <f t="shared" si="0"/>
        <v>10</v>
      </c>
      <c r="B22" s="201" t="s">
        <v>238</v>
      </c>
      <c r="D22" s="206">
        <f>(D15+D19)/2</f>
        <v>815757.11236224999</v>
      </c>
      <c r="E22" s="158" t="str">
        <f>"Average of Line "&amp;A15&amp;" and Line "&amp;A19</f>
        <v>Average of Line 3 and Line 7</v>
      </c>
      <c r="F22" s="119">
        <f t="shared" si="1"/>
        <v>10</v>
      </c>
      <c r="G22" s="418"/>
    </row>
    <row r="23" spans="1:7">
      <c r="A23" s="119">
        <f t="shared" si="0"/>
        <v>11</v>
      </c>
      <c r="B23" s="1133"/>
      <c r="C23" s="1136"/>
      <c r="D23" s="1133"/>
      <c r="E23" s="1122"/>
      <c r="F23" s="119">
        <f t="shared" si="1"/>
        <v>11</v>
      </c>
      <c r="G23" s="418"/>
    </row>
    <row r="24" spans="1:7">
      <c r="A24" s="119"/>
      <c r="B24" s="161"/>
      <c r="C24" s="161"/>
      <c r="D24" s="136"/>
      <c r="E24" s="136"/>
      <c r="G24" s="418"/>
    </row>
    <row r="25" spans="1:7">
      <c r="B25" s="136"/>
      <c r="C25" s="136"/>
      <c r="D25" s="136"/>
      <c r="E25" s="136"/>
      <c r="G25" s="418"/>
    </row>
    <row r="26" spans="1:7">
      <c r="B26" s="136"/>
      <c r="C26" s="136"/>
      <c r="D26" s="136"/>
      <c r="E26" s="136"/>
      <c r="G26" s="155"/>
    </row>
    <row r="27" spans="1:7">
      <c r="B27" s="136"/>
      <c r="C27" s="136"/>
      <c r="D27" s="136"/>
      <c r="E27" s="136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29"/>
  <sheetViews>
    <sheetView zoomScale="80" zoomScaleNormal="80" zoomScalePageLayoutView="80" workbookViewId="0">
      <selection activeCell="C39" sqref="C39"/>
    </sheetView>
  </sheetViews>
  <sheetFormatPr defaultColWidth="9.140625" defaultRowHeight="15.75"/>
  <cols>
    <col min="1" max="1" width="5.140625" style="247" customWidth="1"/>
    <col min="2" max="2" width="56" style="216" customWidth="1"/>
    <col min="3" max="3" width="24" style="216" customWidth="1"/>
    <col min="4" max="4" width="1.5703125" style="216" customWidth="1"/>
    <col min="5" max="5" width="16.5703125" style="216" customWidth="1"/>
    <col min="6" max="6" width="1.5703125" style="216" customWidth="1"/>
    <col min="7" max="7" width="16.5703125" style="216" customWidth="1"/>
    <col min="8" max="8" width="1.5703125" style="216" customWidth="1"/>
    <col min="9" max="9" width="17.5703125" style="216" bestFit="1" customWidth="1"/>
    <col min="10" max="10" width="1.5703125" style="216" customWidth="1"/>
    <col min="11" max="11" width="39.42578125" style="216" bestFit="1" customWidth="1"/>
    <col min="12" max="12" width="5.140625" style="216" customWidth="1"/>
    <col min="13" max="13" width="9.140625" style="216"/>
    <col min="14" max="14" width="20.42578125" style="216" bestFit="1" customWidth="1"/>
    <col min="15" max="16384" width="9.140625" style="216"/>
  </cols>
  <sheetData>
    <row r="1" spans="1:14">
      <c r="H1" s="247"/>
      <c r="I1" s="247"/>
      <c r="J1" s="247"/>
      <c r="K1" s="247"/>
      <c r="L1" s="247"/>
    </row>
    <row r="2" spans="1:14">
      <c r="B2" s="1281" t="s">
        <v>0</v>
      </c>
      <c r="C2" s="1281"/>
      <c r="D2" s="1281"/>
      <c r="E2" s="1281"/>
      <c r="F2" s="1281"/>
      <c r="G2" s="1281"/>
      <c r="H2" s="1281"/>
      <c r="I2" s="1281"/>
      <c r="J2" s="1281"/>
      <c r="K2" s="1281"/>
      <c r="L2" s="247"/>
    </row>
    <row r="3" spans="1:14" ht="18.75">
      <c r="B3" s="1281" t="s">
        <v>896</v>
      </c>
      <c r="C3" s="1281"/>
      <c r="D3" s="1281"/>
      <c r="E3" s="1281"/>
      <c r="F3" s="1281"/>
      <c r="G3" s="1281"/>
      <c r="H3" s="1281"/>
      <c r="I3" s="1281"/>
      <c r="J3" s="1281"/>
      <c r="K3" s="1281"/>
      <c r="L3" s="247"/>
    </row>
    <row r="4" spans="1:14">
      <c r="B4" s="1281" t="s">
        <v>328</v>
      </c>
      <c r="C4" s="1281"/>
      <c r="D4" s="1281"/>
      <c r="E4" s="1281"/>
      <c r="F4" s="1281"/>
      <c r="G4" s="1281"/>
      <c r="H4" s="1281"/>
      <c r="I4" s="1281"/>
      <c r="J4" s="1281"/>
      <c r="K4" s="1281"/>
      <c r="L4" s="247"/>
    </row>
    <row r="5" spans="1:14">
      <c r="B5" s="1283" t="str">
        <f>'A. Sec.1 - Direct Maintenance'!B5</f>
        <v>Base Period &amp; True-Up Period 12 - Months Ending December 31, 2024</v>
      </c>
      <c r="C5" s="1283"/>
      <c r="D5" s="1283"/>
      <c r="E5" s="1283"/>
      <c r="F5" s="1283"/>
      <c r="G5" s="1283"/>
      <c r="H5" s="1283"/>
      <c r="I5" s="1283"/>
      <c r="J5" s="1283"/>
      <c r="K5" s="1283"/>
      <c r="L5" s="247"/>
    </row>
    <row r="6" spans="1:14">
      <c r="B6" s="1279" t="s">
        <v>3</v>
      </c>
      <c r="C6" s="1293"/>
      <c r="D6" s="1293"/>
      <c r="E6" s="1293"/>
      <c r="F6" s="1293"/>
      <c r="G6" s="1293"/>
      <c r="H6" s="1293"/>
      <c r="I6" s="1293"/>
      <c r="J6" s="1293"/>
      <c r="K6" s="1293"/>
      <c r="L6" s="247"/>
    </row>
    <row r="7" spans="1:14"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</row>
    <row r="8" spans="1:14">
      <c r="A8" s="247" t="s">
        <v>4</v>
      </c>
      <c r="B8" s="551"/>
      <c r="C8" s="247" t="s">
        <v>188</v>
      </c>
      <c r="D8" s="551"/>
      <c r="E8" s="412" t="s">
        <v>77</v>
      </c>
      <c r="F8" s="247"/>
      <c r="G8" s="412" t="s">
        <v>78</v>
      </c>
      <c r="H8" s="247"/>
      <c r="I8" s="412" t="s">
        <v>189</v>
      </c>
      <c r="J8" s="247"/>
      <c r="K8" s="247"/>
      <c r="L8" s="247" t="s">
        <v>4</v>
      </c>
    </row>
    <row r="9" spans="1:14">
      <c r="A9" s="247" t="s">
        <v>5</v>
      </c>
      <c r="C9" s="994" t="s">
        <v>190</v>
      </c>
      <c r="E9" s="1137" t="str">
        <f>'Stmt AD'!E9</f>
        <v>31-Dec-23</v>
      </c>
      <c r="F9" s="109"/>
      <c r="G9" s="1137" t="str">
        <f>'Stmt AD'!G9</f>
        <v>31-Dec-24</v>
      </c>
      <c r="H9" s="551"/>
      <c r="I9" s="995" t="s">
        <v>191</v>
      </c>
      <c r="J9" s="551"/>
      <c r="K9" s="994" t="s">
        <v>8</v>
      </c>
      <c r="L9" s="247" t="s">
        <v>5</v>
      </c>
    </row>
    <row r="10" spans="1:14">
      <c r="H10" s="247"/>
      <c r="I10" s="247"/>
      <c r="J10" s="247"/>
      <c r="K10" s="247"/>
      <c r="L10" s="247"/>
    </row>
    <row r="11" spans="1:14">
      <c r="A11" s="247">
        <v>1</v>
      </c>
      <c r="B11" s="216" t="s">
        <v>329</v>
      </c>
      <c r="E11" s="344">
        <f>'AF-1'!I16+'AF-1'!I32</f>
        <v>103537.42708935877</v>
      </c>
      <c r="F11" s="1249"/>
      <c r="G11" s="344">
        <f>'AF-2'!I16+'AF-2'!I32</f>
        <v>101983.40488711958</v>
      </c>
      <c r="H11" s="247"/>
      <c r="I11" s="376">
        <f>(E11+G11)/2</f>
        <v>102760.41598823917</v>
      </c>
      <c r="J11" s="247"/>
      <c r="K11" s="247" t="str">
        <f>"AF-1 and AF-2; Line "&amp;'AF-1'!A16&amp;" + Line "&amp;'AF-1'!A32&amp;"; Col. d"</f>
        <v>AF-1 and AF-2; Line 5 + Line 21; Col. d</v>
      </c>
      <c r="L11" s="247">
        <f>A11</f>
        <v>1</v>
      </c>
      <c r="N11" s="907"/>
    </row>
    <row r="12" spans="1:14">
      <c r="A12" s="247">
        <f>A11+1</f>
        <v>2</v>
      </c>
      <c r="H12" s="247"/>
      <c r="I12" s="247"/>
      <c r="J12" s="247"/>
      <c r="K12" s="247"/>
      <c r="L12" s="247">
        <f>L11+1</f>
        <v>2</v>
      </c>
    </row>
    <row r="13" spans="1:14" s="413" customFormat="1">
      <c r="A13" s="247">
        <f t="shared" ref="A13:A23" si="0">A12+1</f>
        <v>3</v>
      </c>
      <c r="B13" s="216" t="s">
        <v>330</v>
      </c>
      <c r="C13" s="216"/>
      <c r="D13" s="216"/>
      <c r="E13" s="560">
        <f>'AF-1'!I21+'AF-1'!I37</f>
        <v>-1227885.4061833911</v>
      </c>
      <c r="G13" s="560">
        <f>'AF-2'!I21+'AF-2'!I37</f>
        <v>-1246560.5182353759</v>
      </c>
      <c r="H13" s="247"/>
      <c r="I13" s="561">
        <f>(E13+G13)/2</f>
        <v>-1237222.9622093835</v>
      </c>
      <c r="J13" s="247"/>
      <c r="K13" s="247" t="str">
        <f>"AF-1 and AF-2; Line "&amp;'AF-1'!A21&amp;" + Line "&amp;'AF-1'!A37&amp;"; Col. d"</f>
        <v>AF-1 and AF-2; Line 10 + Line 26; Col. d</v>
      </c>
      <c r="L13" s="247">
        <f t="shared" ref="L13:L23" si="1">L12+1</f>
        <v>3</v>
      </c>
      <c r="M13" s="216"/>
    </row>
    <row r="14" spans="1:14" s="413" customFormat="1">
      <c r="A14" s="247">
        <f t="shared" si="0"/>
        <v>4</v>
      </c>
      <c r="B14" s="216"/>
      <c r="C14" s="216"/>
      <c r="D14" s="216"/>
      <c r="E14" s="216"/>
      <c r="F14" s="216"/>
      <c r="G14" s="216"/>
      <c r="H14" s="247"/>
      <c r="I14" s="247"/>
      <c r="J14" s="247"/>
      <c r="K14" s="4"/>
      <c r="L14" s="247">
        <f t="shared" si="1"/>
        <v>4</v>
      </c>
    </row>
    <row r="15" spans="1:14" s="413" customFormat="1">
      <c r="A15" s="247">
        <f t="shared" si="0"/>
        <v>5</v>
      </c>
      <c r="B15" s="216" t="s">
        <v>331</v>
      </c>
      <c r="C15" s="216"/>
      <c r="D15" s="216"/>
      <c r="E15" s="944">
        <f>'AF-1'!I26+'AF-1'!I42</f>
        <v>-9530.1858252439943</v>
      </c>
      <c r="F15" s="216"/>
      <c r="G15" s="944">
        <f>'AF-2'!I26+'AF-2'!I42</f>
        <v>-10383.075545153648</v>
      </c>
      <c r="H15" s="247"/>
      <c r="I15" s="1143">
        <f>(E15+G15)/2</f>
        <v>-9956.6306851988211</v>
      </c>
      <c r="J15" s="247"/>
      <c r="K15" s="247" t="str">
        <f>"AF-1 and AF-2; Line "&amp;'AF-1'!A26&amp;" + Line "&amp;'AF-1'!A42&amp;"; Col. d"</f>
        <v>AF-1 and AF-2; Line 15 + Line 31; Col. d</v>
      </c>
      <c r="L15" s="247">
        <f t="shared" si="1"/>
        <v>5</v>
      </c>
      <c r="M15" s="216"/>
      <c r="N15" s="216"/>
    </row>
    <row r="16" spans="1:14">
      <c r="A16" s="247">
        <f t="shared" si="0"/>
        <v>6</v>
      </c>
      <c r="B16" s="3"/>
      <c r="E16" s="376"/>
      <c r="F16" s="376"/>
      <c r="G16" s="376"/>
      <c r="I16" s="376"/>
      <c r="J16" s="247"/>
      <c r="K16" s="4"/>
      <c r="L16" s="247">
        <f t="shared" si="1"/>
        <v>6</v>
      </c>
    </row>
    <row r="17" spans="1:12" ht="19.5" thickBot="1">
      <c r="A17" s="247">
        <f t="shared" si="0"/>
        <v>7</v>
      </c>
      <c r="B17" s="3" t="s">
        <v>332</v>
      </c>
      <c r="C17" s="247"/>
      <c r="E17" s="414">
        <f>SUM(E11:E15)</f>
        <v>-1133878.1649192765</v>
      </c>
      <c r="F17" s="1249"/>
      <c r="G17" s="414">
        <f>SUM(G11:G15)</f>
        <v>-1154960.1888934099</v>
      </c>
      <c r="H17" s="415"/>
      <c r="I17" s="414">
        <f>SUM(I11:I15)</f>
        <v>-1144419.1769063431</v>
      </c>
      <c r="J17" s="247"/>
      <c r="K17" s="5" t="str">
        <f>"Sum Lines "&amp;A11&amp;" thru "&amp;A15</f>
        <v>Sum Lines 1 thru 5</v>
      </c>
      <c r="L17" s="247">
        <f t="shared" si="1"/>
        <v>7</v>
      </c>
    </row>
    <row r="18" spans="1:12" ht="16.5" thickTop="1">
      <c r="A18" s="247">
        <f t="shared" si="0"/>
        <v>8</v>
      </c>
      <c r="J18" s="247"/>
      <c r="K18" s="4"/>
      <c r="L18" s="247">
        <f t="shared" si="1"/>
        <v>8</v>
      </c>
    </row>
    <row r="19" spans="1:12" ht="16.5" thickBot="1">
      <c r="A19" s="247">
        <f t="shared" si="0"/>
        <v>9</v>
      </c>
      <c r="B19" s="3" t="s">
        <v>333</v>
      </c>
      <c r="E19" s="883">
        <v>0</v>
      </c>
      <c r="G19" s="883">
        <v>0</v>
      </c>
      <c r="I19" s="867">
        <f>(E19+G19)/2</f>
        <v>0</v>
      </c>
      <c r="J19" s="247"/>
      <c r="K19" s="247" t="s">
        <v>306</v>
      </c>
      <c r="L19" s="247">
        <f t="shared" si="1"/>
        <v>9</v>
      </c>
    </row>
    <row r="20" spans="1:12" ht="16.5" thickTop="1">
      <c r="A20" s="247">
        <f t="shared" si="0"/>
        <v>10</v>
      </c>
      <c r="B20" s="3"/>
      <c r="I20" s="237"/>
      <c r="J20" s="247"/>
      <c r="K20" s="4"/>
      <c r="L20" s="247">
        <f t="shared" si="1"/>
        <v>10</v>
      </c>
    </row>
    <row r="21" spans="1:12" ht="16.5" thickBot="1">
      <c r="A21" s="247">
        <f t="shared" si="0"/>
        <v>11</v>
      </c>
      <c r="B21" s="3" t="s">
        <v>334</v>
      </c>
      <c r="E21" s="416">
        <f>'AF-1'!I45</f>
        <v>0</v>
      </c>
      <c r="F21" s="417"/>
      <c r="G21" s="416">
        <f>'AF-2'!I45</f>
        <v>0</v>
      </c>
      <c r="H21" s="418"/>
      <c r="I21" s="867">
        <f>(E21+G21)/2</f>
        <v>0</v>
      </c>
      <c r="K21" s="247" t="str">
        <f>"AF-1 and AF-2; Line "&amp;'AF-1'!A45&amp;"; Col. d"</f>
        <v>AF-1 and AF-2; Line 34; Col. d</v>
      </c>
      <c r="L21" s="247">
        <f t="shared" si="1"/>
        <v>11</v>
      </c>
    </row>
    <row r="22" spans="1:12" ht="16.5" thickTop="1">
      <c r="A22" s="247">
        <f t="shared" si="0"/>
        <v>12</v>
      </c>
      <c r="B22" s="3"/>
      <c r="E22" s="588"/>
      <c r="F22" s="866"/>
      <c r="G22" s="588"/>
      <c r="H22" s="418"/>
      <c r="I22" s="237"/>
      <c r="K22" s="4"/>
      <c r="L22" s="247">
        <f t="shared" si="1"/>
        <v>12</v>
      </c>
    </row>
    <row r="23" spans="1:12" ht="16.5" thickBot="1">
      <c r="A23" s="247">
        <f t="shared" si="0"/>
        <v>13</v>
      </c>
      <c r="B23" s="3" t="s">
        <v>335</v>
      </c>
      <c r="E23" s="883">
        <v>0</v>
      </c>
      <c r="F23" s="417"/>
      <c r="G23" s="883">
        <v>0</v>
      </c>
      <c r="H23" s="418"/>
      <c r="I23" s="867">
        <f>(E23+G23)/2</f>
        <v>0</v>
      </c>
      <c r="K23" s="247" t="s">
        <v>306</v>
      </c>
      <c r="L23" s="247">
        <f t="shared" si="1"/>
        <v>13</v>
      </c>
    </row>
    <row r="24" spans="1:12" ht="16.5" thickTop="1">
      <c r="L24" s="247"/>
    </row>
    <row r="25" spans="1:12">
      <c r="L25" s="247"/>
    </row>
    <row r="26" spans="1:12">
      <c r="A26" s="1249"/>
      <c r="B26" s="1259"/>
    </row>
    <row r="27" spans="1:12" ht="18.75">
      <c r="A27" s="372">
        <v>1</v>
      </c>
      <c r="B27" s="3" t="s">
        <v>336</v>
      </c>
    </row>
    <row r="28" spans="1:12" ht="18.75">
      <c r="A28" s="372">
        <v>2</v>
      </c>
      <c r="B28" s="216" t="s">
        <v>927</v>
      </c>
    </row>
    <row r="29" spans="1:12">
      <c r="A29" s="216"/>
      <c r="B29" s="420" t="s">
        <v>928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Roman,Regular"&amp;10AF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820B-7572-44BC-8D6D-40C5971BE1DD}">
  <sheetPr>
    <pageSetUpPr fitToPage="1"/>
  </sheetPr>
  <dimension ref="A2:N48"/>
  <sheetViews>
    <sheetView topLeftCell="A7" zoomScale="80" zoomScaleNormal="80" zoomScaleSheetLayoutView="70" workbookViewId="0">
      <selection activeCell="K42" sqref="K42"/>
    </sheetView>
  </sheetViews>
  <sheetFormatPr defaultColWidth="8.5703125" defaultRowHeight="15.75"/>
  <cols>
    <col min="1" max="1" width="5.5703125" style="247" customWidth="1"/>
    <col min="2" max="2" width="62.5703125" style="216" bestFit="1" customWidth="1"/>
    <col min="3" max="3" width="16.5703125" style="216" customWidth="1"/>
    <col min="4" max="4" width="2.140625" style="216" bestFit="1" customWidth="1"/>
    <col min="5" max="5" width="16.5703125" style="216" customWidth="1"/>
    <col min="6" max="6" width="1.5703125" style="216" customWidth="1"/>
    <col min="7" max="7" width="16.5703125" style="216" customWidth="1"/>
    <col min="8" max="8" width="1.5703125" style="216" customWidth="1"/>
    <col min="9" max="9" width="23.42578125" style="216" bestFit="1" customWidth="1"/>
    <col min="10" max="10" width="2.140625" style="216" bestFit="1" customWidth="1"/>
    <col min="11" max="11" width="62.5703125" style="216" customWidth="1"/>
    <col min="12" max="12" width="5.140625" style="247" customWidth="1"/>
    <col min="13" max="13" width="8.5703125" style="216"/>
    <col min="14" max="14" width="13.42578125" style="216" bestFit="1" customWidth="1"/>
    <col min="15" max="16384" width="8.5703125" style="216"/>
  </cols>
  <sheetData>
    <row r="2" spans="1:14">
      <c r="B2" s="1281" t="s">
        <v>0</v>
      </c>
      <c r="C2" s="1281"/>
      <c r="D2" s="1281"/>
      <c r="E2" s="1281"/>
      <c r="F2" s="1281"/>
      <c r="G2" s="1281"/>
      <c r="H2" s="1281"/>
      <c r="I2" s="1281"/>
      <c r="J2" s="1281"/>
      <c r="K2" s="1281"/>
    </row>
    <row r="3" spans="1:14">
      <c r="B3" s="1281" t="s">
        <v>337</v>
      </c>
      <c r="C3" s="1281"/>
      <c r="D3" s="1281"/>
      <c r="E3" s="1281"/>
      <c r="F3" s="1281"/>
      <c r="G3" s="1281"/>
      <c r="H3" s="1281"/>
      <c r="I3" s="1281"/>
      <c r="J3" s="1281"/>
      <c r="K3" s="1281"/>
    </row>
    <row r="4" spans="1:14">
      <c r="B4" s="1281" t="s">
        <v>338</v>
      </c>
      <c r="C4" s="1281"/>
      <c r="D4" s="1281"/>
      <c r="E4" s="1281"/>
      <c r="F4" s="1281"/>
      <c r="G4" s="1281"/>
      <c r="H4" s="1281"/>
      <c r="I4" s="1281"/>
      <c r="J4" s="1281"/>
      <c r="K4" s="1281"/>
    </row>
    <row r="5" spans="1:14">
      <c r="B5" s="1281" t="str">
        <f>"Base Period 12 Months Ending December 31, "&amp;Automation!$B$3-1</f>
        <v>Base Period 12 Months Ending December 31, 2023</v>
      </c>
      <c r="C5" s="1281"/>
      <c r="D5" s="1281"/>
      <c r="E5" s="1281"/>
      <c r="F5" s="1281"/>
      <c r="G5" s="1281"/>
      <c r="H5" s="1281"/>
      <c r="I5" s="1281"/>
      <c r="J5" s="1281"/>
      <c r="K5" s="1281"/>
    </row>
    <row r="6" spans="1:14" ht="15.75" customHeight="1">
      <c r="B6" s="1279" t="s">
        <v>3</v>
      </c>
      <c r="C6" s="1279"/>
      <c r="D6" s="1279"/>
      <c r="E6" s="1279"/>
      <c r="F6" s="1279"/>
      <c r="G6" s="1279"/>
      <c r="H6" s="1279"/>
      <c r="I6" s="1279"/>
      <c r="J6" s="1279"/>
      <c r="K6" s="1279"/>
    </row>
    <row r="8" spans="1:14">
      <c r="B8" s="237"/>
      <c r="C8" s="690" t="s">
        <v>77</v>
      </c>
      <c r="D8" s="690"/>
      <c r="E8" s="690" t="s">
        <v>78</v>
      </c>
      <c r="F8" s="690"/>
      <c r="G8" s="690" t="s">
        <v>339</v>
      </c>
      <c r="H8" s="690"/>
      <c r="I8" s="690" t="s">
        <v>340</v>
      </c>
      <c r="J8" s="690"/>
      <c r="K8" s="690"/>
    </row>
    <row r="9" spans="1:14">
      <c r="A9" s="247" t="s">
        <v>4</v>
      </c>
      <c r="B9" s="237"/>
      <c r="C9" s="690" t="s">
        <v>341</v>
      </c>
      <c r="D9" s="690"/>
      <c r="E9" s="690" t="s">
        <v>342</v>
      </c>
      <c r="F9" s="690"/>
      <c r="G9" s="690" t="s">
        <v>342</v>
      </c>
      <c r="H9" s="690"/>
      <c r="I9" s="690"/>
      <c r="J9" s="690"/>
      <c r="K9" s="690"/>
      <c r="L9" s="247" t="s">
        <v>4</v>
      </c>
    </row>
    <row r="10" spans="1:14">
      <c r="A10" s="247" t="s">
        <v>5</v>
      </c>
      <c r="B10" s="986" t="s">
        <v>261</v>
      </c>
      <c r="C10" s="1045" t="s">
        <v>343</v>
      </c>
      <c r="D10" s="1045"/>
      <c r="E10" s="1045" t="s">
        <v>344</v>
      </c>
      <c r="F10" s="1045"/>
      <c r="G10" s="1045" t="s">
        <v>345</v>
      </c>
      <c r="H10" s="1045"/>
      <c r="I10" s="986" t="s">
        <v>80</v>
      </c>
      <c r="J10" s="986"/>
      <c r="K10" s="986" t="s">
        <v>8</v>
      </c>
      <c r="L10" s="247" t="s">
        <v>5</v>
      </c>
    </row>
    <row r="11" spans="1:14">
      <c r="B11" s="237"/>
      <c r="C11" s="836"/>
      <c r="D11" s="836"/>
      <c r="E11" s="836"/>
      <c r="F11" s="836"/>
      <c r="G11" s="836"/>
      <c r="H11" s="836"/>
      <c r="I11" s="481"/>
      <c r="J11" s="481"/>
      <c r="K11" s="481"/>
    </row>
    <row r="12" spans="1:14">
      <c r="A12" s="247">
        <v>1</v>
      </c>
      <c r="B12" s="420" t="s">
        <v>346</v>
      </c>
      <c r="C12" s="837"/>
      <c r="D12" s="837"/>
      <c r="E12" s="837"/>
      <c r="F12" s="837"/>
      <c r="G12" s="837"/>
      <c r="H12" s="837"/>
      <c r="I12" s="481"/>
      <c r="J12" s="481"/>
      <c r="K12" s="481"/>
      <c r="L12" s="247">
        <f>A12</f>
        <v>1</v>
      </c>
    </row>
    <row r="13" spans="1:14">
      <c r="A13" s="247">
        <f>A12+1</f>
        <v>2</v>
      </c>
      <c r="B13" s="420" t="s">
        <v>347</v>
      </c>
      <c r="C13" s="473">
        <v>1005.4392196015013</v>
      </c>
      <c r="D13" s="1249"/>
      <c r="E13" s="473">
        <v>0</v>
      </c>
      <c r="F13" s="473"/>
      <c r="G13" s="473">
        <v>0</v>
      </c>
      <c r="H13" s="838"/>
      <c r="I13" s="376">
        <f>SUM(C13:G13)</f>
        <v>1005.4392196015013</v>
      </c>
      <c r="J13" s="1249"/>
      <c r="K13" s="401" t="s">
        <v>1023</v>
      </c>
      <c r="L13" s="247">
        <f>L12+1</f>
        <v>2</v>
      </c>
      <c r="M13" s="907"/>
      <c r="N13" s="907"/>
    </row>
    <row r="14" spans="1:14">
      <c r="A14" s="247">
        <f t="shared" ref="A14:A45" si="0">A13+1</f>
        <v>3</v>
      </c>
      <c r="B14" s="420" t="s">
        <v>348</v>
      </c>
      <c r="C14" s="491">
        <v>149.64704988309055</v>
      </c>
      <c r="D14" s="491"/>
      <c r="E14" s="491">
        <v>0</v>
      </c>
      <c r="F14" s="491"/>
      <c r="G14" s="491">
        <v>0</v>
      </c>
      <c r="H14" s="491"/>
      <c r="I14" s="164">
        <f>SUM(C14:G14)</f>
        <v>149.64704988309055</v>
      </c>
      <c r="J14" s="164"/>
      <c r="K14" s="401" t="s">
        <v>1023</v>
      </c>
      <c r="L14" s="247">
        <f t="shared" ref="L14:L45" si="1">L13+1</f>
        <v>3</v>
      </c>
    </row>
    <row r="15" spans="1:14">
      <c r="A15" s="247">
        <f t="shared" si="0"/>
        <v>4</v>
      </c>
      <c r="B15" s="420" t="s">
        <v>349</v>
      </c>
      <c r="C15" s="491">
        <v>0</v>
      </c>
      <c r="D15" s="491"/>
      <c r="E15" s="491">
        <v>102382.34081987418</v>
      </c>
      <c r="F15" s="491"/>
      <c r="G15" s="491">
        <v>0</v>
      </c>
      <c r="H15" s="491"/>
      <c r="I15" s="164">
        <f>SUM(C15:G15)</f>
        <v>102382.34081987418</v>
      </c>
      <c r="J15" s="164"/>
      <c r="K15" s="401" t="s">
        <v>1023</v>
      </c>
      <c r="L15" s="247">
        <f t="shared" si="1"/>
        <v>4</v>
      </c>
    </row>
    <row r="16" spans="1:14" ht="16.5" thickBot="1">
      <c r="A16" s="247">
        <f t="shared" si="0"/>
        <v>5</v>
      </c>
      <c r="B16" s="466" t="s">
        <v>350</v>
      </c>
      <c r="C16" s="839">
        <f>SUM(C13:C15)</f>
        <v>1155.0862694845919</v>
      </c>
      <c r="D16" s="1249"/>
      <c r="E16" s="839">
        <f>SUM(E13:E15)</f>
        <v>102382.34081987418</v>
      </c>
      <c r="F16" s="323"/>
      <c r="G16" s="839">
        <f>SUM(G13:G15)</f>
        <v>0</v>
      </c>
      <c r="H16" s="164"/>
      <c r="I16" s="839">
        <f>SUM(I13:I15)</f>
        <v>103537.42708935877</v>
      </c>
      <c r="J16" s="1249"/>
      <c r="K16" s="840" t="str">
        <f>"Sum Lines "&amp;A13&amp;" thru "&amp;A15</f>
        <v>Sum Lines 2 thru 4</v>
      </c>
      <c r="L16" s="247">
        <f t="shared" si="1"/>
        <v>5</v>
      </c>
    </row>
    <row r="17" spans="1:14" ht="16.5" thickTop="1">
      <c r="A17" s="247">
        <f t="shared" si="0"/>
        <v>6</v>
      </c>
      <c r="C17" s="841"/>
      <c r="D17" s="841"/>
      <c r="E17" s="841"/>
      <c r="F17" s="841"/>
      <c r="G17" s="1232"/>
      <c r="H17" s="841"/>
      <c r="I17" s="841"/>
      <c r="J17" s="841"/>
      <c r="K17" s="841"/>
      <c r="L17" s="247">
        <f t="shared" si="1"/>
        <v>6</v>
      </c>
    </row>
    <row r="18" spans="1:14">
      <c r="A18" s="247">
        <f t="shared" si="0"/>
        <v>7</v>
      </c>
      <c r="B18" s="420" t="s">
        <v>351</v>
      </c>
      <c r="C18" s="837"/>
      <c r="D18" s="837"/>
      <c r="E18" s="837"/>
      <c r="F18" s="837"/>
      <c r="G18" s="837"/>
      <c r="H18" s="837"/>
      <c r="I18" s="481"/>
      <c r="J18" s="481"/>
      <c r="K18" s="481"/>
      <c r="L18" s="247">
        <f t="shared" si="1"/>
        <v>7</v>
      </c>
    </row>
    <row r="19" spans="1:14">
      <c r="A19" s="247">
        <f t="shared" si="0"/>
        <v>8</v>
      </c>
      <c r="B19" s="842" t="s">
        <v>352</v>
      </c>
      <c r="C19" s="473">
        <v>-872111.19599224033</v>
      </c>
      <c r="D19" s="1249"/>
      <c r="E19" s="376">
        <v>-361227.02089163283</v>
      </c>
      <c r="F19" s="376"/>
      <c r="G19" s="376">
        <v>8733.5614222332879</v>
      </c>
      <c r="H19" s="376"/>
      <c r="I19" s="376">
        <f>SUM(C19:G19)</f>
        <v>-1224604.6554616399</v>
      </c>
      <c r="J19" s="1249"/>
      <c r="K19" s="1244" t="s">
        <v>1024</v>
      </c>
      <c r="L19" s="247">
        <f t="shared" si="1"/>
        <v>8</v>
      </c>
    </row>
    <row r="20" spans="1:14">
      <c r="A20" s="247">
        <f t="shared" si="0"/>
        <v>9</v>
      </c>
      <c r="C20" s="164">
        <v>0</v>
      </c>
      <c r="D20" s="164"/>
      <c r="E20" s="164">
        <v>0</v>
      </c>
      <c r="F20" s="164"/>
      <c r="G20" s="164">
        <v>0</v>
      </c>
      <c r="H20" s="164"/>
      <c r="I20" s="164">
        <f>SUM(C20:G20)</f>
        <v>0</v>
      </c>
      <c r="J20" s="164"/>
      <c r="K20" s="164"/>
      <c r="L20" s="247">
        <f t="shared" si="1"/>
        <v>9</v>
      </c>
    </row>
    <row r="21" spans="1:14" ht="16.5" thickBot="1">
      <c r="A21" s="247">
        <f t="shared" si="0"/>
        <v>10</v>
      </c>
      <c r="B21" s="466" t="s">
        <v>353</v>
      </c>
      <c r="C21" s="839">
        <f>SUM(C19:C20)</f>
        <v>-872111.19599224033</v>
      </c>
      <c r="D21" s="1249"/>
      <c r="E21" s="839">
        <f>SUM(E19:E20)</f>
        <v>-361227.02089163283</v>
      </c>
      <c r="F21" s="323"/>
      <c r="G21" s="839">
        <f>SUM(G19:G20)</f>
        <v>8733.5614222332879</v>
      </c>
      <c r="H21" s="164"/>
      <c r="I21" s="839">
        <f>SUM(I19:I20)</f>
        <v>-1224604.6554616399</v>
      </c>
      <c r="J21" s="1249"/>
      <c r="K21" s="840" t="str">
        <f>"Sum Lines "&amp;A19&amp;" thru "&amp;A20</f>
        <v>Sum Lines 8 thru 9</v>
      </c>
      <c r="L21" s="247">
        <f t="shared" si="1"/>
        <v>10</v>
      </c>
    </row>
    <row r="22" spans="1:14" ht="16.5" thickTop="1">
      <c r="A22" s="247">
        <f t="shared" si="0"/>
        <v>11</v>
      </c>
      <c r="L22" s="247">
        <f t="shared" si="1"/>
        <v>11</v>
      </c>
    </row>
    <row r="23" spans="1:14">
      <c r="A23" s="247">
        <f t="shared" si="0"/>
        <v>12</v>
      </c>
      <c r="B23" s="420" t="s">
        <v>354</v>
      </c>
      <c r="C23" s="837"/>
      <c r="D23" s="837"/>
      <c r="E23" s="837"/>
      <c r="F23" s="837"/>
      <c r="G23" s="837"/>
      <c r="H23" s="837"/>
      <c r="I23" s="481"/>
      <c r="J23" s="481"/>
      <c r="K23" s="247"/>
      <c r="L23" s="247">
        <f t="shared" si="1"/>
        <v>12</v>
      </c>
    </row>
    <row r="24" spans="1:14">
      <c r="A24" s="247">
        <f t="shared" si="0"/>
        <v>13</v>
      </c>
      <c r="B24" s="420" t="s">
        <v>355</v>
      </c>
      <c r="C24" s="473">
        <v>-9530.1858252439943</v>
      </c>
      <c r="D24" s="473"/>
      <c r="E24" s="473">
        <v>0</v>
      </c>
      <c r="F24" s="473"/>
      <c r="G24" s="473">
        <v>0</v>
      </c>
      <c r="H24" s="838"/>
      <c r="I24" s="376">
        <f>SUM(C24:G24)</f>
        <v>-9530.1858252439943</v>
      </c>
      <c r="J24" s="376"/>
      <c r="K24" s="401" t="s">
        <v>1025</v>
      </c>
      <c r="L24" s="247">
        <f t="shared" si="1"/>
        <v>13</v>
      </c>
      <c r="N24" s="907"/>
    </row>
    <row r="25" spans="1:14">
      <c r="A25" s="247">
        <f t="shared" si="0"/>
        <v>14</v>
      </c>
      <c r="B25" s="420"/>
      <c r="C25" s="164">
        <v>0</v>
      </c>
      <c r="D25" s="164"/>
      <c r="E25" s="164">
        <v>0</v>
      </c>
      <c r="F25" s="164"/>
      <c r="G25" s="164">
        <v>0</v>
      </c>
      <c r="H25" s="164"/>
      <c r="I25" s="164">
        <f>SUM(C25:G25)</f>
        <v>0</v>
      </c>
      <c r="J25" s="164"/>
      <c r="K25" s="164"/>
      <c r="L25" s="247">
        <f t="shared" si="1"/>
        <v>14</v>
      </c>
    </row>
    <row r="26" spans="1:14" ht="16.5" thickBot="1">
      <c r="A26" s="247">
        <f t="shared" si="0"/>
        <v>15</v>
      </c>
      <c r="B26" s="466" t="s">
        <v>356</v>
      </c>
      <c r="C26" s="839">
        <f>SUM(C24:C25)</f>
        <v>-9530.1858252439943</v>
      </c>
      <c r="D26" s="164"/>
      <c r="E26" s="839">
        <f>SUM(E24:E25)</f>
        <v>0</v>
      </c>
      <c r="F26" s="323"/>
      <c r="G26" s="839">
        <f>SUM(G24:G25)</f>
        <v>0</v>
      </c>
      <c r="H26" s="164"/>
      <c r="I26" s="839">
        <f>SUM(I24:I25)</f>
        <v>-9530.1858252439943</v>
      </c>
      <c r="J26" s="323"/>
      <c r="K26" s="840" t="str">
        <f>"Sum Lines "&amp;A24&amp;" thru "&amp;A25</f>
        <v>Sum Lines 13 thru 14</v>
      </c>
      <c r="L26" s="247">
        <f t="shared" si="1"/>
        <v>15</v>
      </c>
    </row>
    <row r="27" spans="1:14" ht="17.25" thickTop="1" thickBot="1">
      <c r="A27" s="247">
        <f t="shared" si="0"/>
        <v>16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47">
        <f t="shared" si="1"/>
        <v>16</v>
      </c>
    </row>
    <row r="28" spans="1:14">
      <c r="A28" s="247">
        <f t="shared" si="0"/>
        <v>17</v>
      </c>
      <c r="L28" s="247">
        <f t="shared" si="1"/>
        <v>17</v>
      </c>
    </row>
    <row r="29" spans="1:14">
      <c r="A29" s="247">
        <f t="shared" si="0"/>
        <v>18</v>
      </c>
      <c r="B29" s="420" t="s">
        <v>898</v>
      </c>
      <c r="C29" s="837"/>
      <c r="D29" s="837"/>
      <c r="E29" s="837"/>
      <c r="F29" s="837"/>
      <c r="G29" s="837"/>
      <c r="H29" s="837"/>
      <c r="I29" s="481"/>
      <c r="J29" s="481"/>
      <c r="K29" s="481"/>
      <c r="L29" s="247">
        <f t="shared" si="1"/>
        <v>18</v>
      </c>
    </row>
    <row r="30" spans="1:14">
      <c r="A30" s="247">
        <f t="shared" si="0"/>
        <v>19</v>
      </c>
      <c r="B30" s="420" t="s">
        <v>349</v>
      </c>
      <c r="C30" s="376">
        <v>0</v>
      </c>
      <c r="D30" s="376"/>
      <c r="E30" s="376">
        <v>0</v>
      </c>
      <c r="F30" s="376"/>
      <c r="G30" s="376">
        <v>0</v>
      </c>
      <c r="H30" s="473"/>
      <c r="I30" s="376">
        <f>SUM(C30:G30)</f>
        <v>0</v>
      </c>
      <c r="J30" s="376"/>
      <c r="K30" s="65" t="str">
        <f>"Not Applicable to "&amp;Automation!$B$3-1&amp;" Base Period"</f>
        <v>Not Applicable to 2023 Base Period</v>
      </c>
      <c r="L30" s="247">
        <f t="shared" si="1"/>
        <v>19</v>
      </c>
    </row>
    <row r="31" spans="1:14">
      <c r="A31" s="247">
        <f t="shared" si="0"/>
        <v>20</v>
      </c>
      <c r="C31" s="164">
        <v>0</v>
      </c>
      <c r="D31" s="164"/>
      <c r="E31" s="164">
        <v>0</v>
      </c>
      <c r="F31" s="164"/>
      <c r="G31" s="164">
        <v>0</v>
      </c>
      <c r="H31" s="164"/>
      <c r="I31" s="164">
        <f>SUM(C31:G31)</f>
        <v>0</v>
      </c>
      <c r="J31" s="164"/>
      <c r="K31" s="164"/>
      <c r="L31" s="247">
        <f t="shared" si="1"/>
        <v>20</v>
      </c>
    </row>
    <row r="32" spans="1:14" ht="16.5" thickBot="1">
      <c r="A32" s="247">
        <f t="shared" si="0"/>
        <v>21</v>
      </c>
      <c r="B32" s="466" t="s">
        <v>350</v>
      </c>
      <c r="C32" s="839">
        <f>SUM(C30:C31)</f>
        <v>0</v>
      </c>
      <c r="D32" s="164"/>
      <c r="E32" s="839">
        <f>SUM(E30:E31)</f>
        <v>0</v>
      </c>
      <c r="F32" s="323"/>
      <c r="G32" s="839">
        <f>SUM(G30:G31)</f>
        <v>0</v>
      </c>
      <c r="H32" s="164"/>
      <c r="I32" s="839">
        <f>SUM(I30:I31)</f>
        <v>0</v>
      </c>
      <c r="J32" s="323"/>
      <c r="K32" s="840" t="str">
        <f>"Sum Lines "&amp;A30&amp;" thru "&amp;A31</f>
        <v>Sum Lines 19 thru 20</v>
      </c>
      <c r="L32" s="247">
        <f t="shared" si="1"/>
        <v>21</v>
      </c>
    </row>
    <row r="33" spans="1:12" ht="16.5" thickTop="1">
      <c r="A33" s="247">
        <f t="shared" si="0"/>
        <v>22</v>
      </c>
      <c r="C33" s="841"/>
      <c r="D33" s="841"/>
      <c r="E33" s="841"/>
      <c r="F33" s="841"/>
      <c r="G33" s="841"/>
      <c r="H33" s="841"/>
      <c r="I33" s="841"/>
      <c r="J33" s="841"/>
      <c r="K33" s="841"/>
      <c r="L33" s="247">
        <f t="shared" si="1"/>
        <v>22</v>
      </c>
    </row>
    <row r="34" spans="1:12">
      <c r="A34" s="247">
        <f t="shared" si="0"/>
        <v>23</v>
      </c>
      <c r="B34" s="420" t="s">
        <v>891</v>
      </c>
      <c r="C34" s="837"/>
      <c r="D34" s="837"/>
      <c r="E34" s="837"/>
      <c r="F34" s="837"/>
      <c r="G34" s="837"/>
      <c r="H34" s="837"/>
      <c r="I34" s="481"/>
      <c r="J34" s="481"/>
      <c r="K34" s="481"/>
      <c r="L34" s="247">
        <f t="shared" si="1"/>
        <v>23</v>
      </c>
    </row>
    <row r="35" spans="1:12">
      <c r="A35" s="247">
        <f t="shared" si="0"/>
        <v>24</v>
      </c>
      <c r="B35" s="842" t="s">
        <v>352</v>
      </c>
      <c r="C35" s="376">
        <v>-3280.7507217513194</v>
      </c>
      <c r="D35" s="376"/>
      <c r="E35" s="376">
        <v>0</v>
      </c>
      <c r="F35" s="376"/>
      <c r="G35" s="376">
        <v>0</v>
      </c>
      <c r="H35" s="376"/>
      <c r="I35" s="376">
        <f>SUM(C35:G35)</f>
        <v>-3280.7507217513194</v>
      </c>
      <c r="J35" s="376"/>
      <c r="K35" s="401" t="s">
        <v>1026</v>
      </c>
      <c r="L35" s="247">
        <f t="shared" si="1"/>
        <v>24</v>
      </c>
    </row>
    <row r="36" spans="1:12">
      <c r="A36" s="247">
        <f t="shared" si="0"/>
        <v>25</v>
      </c>
      <c r="C36" s="164">
        <v>0</v>
      </c>
      <c r="D36" s="164"/>
      <c r="E36" s="164">
        <v>0</v>
      </c>
      <c r="F36" s="164"/>
      <c r="G36" s="164">
        <v>0</v>
      </c>
      <c r="H36" s="164"/>
      <c r="I36" s="164">
        <f>SUM(C36:G36)</f>
        <v>0</v>
      </c>
      <c r="J36" s="164"/>
      <c r="K36" s="164"/>
      <c r="L36" s="247">
        <f t="shared" si="1"/>
        <v>25</v>
      </c>
    </row>
    <row r="37" spans="1:12" ht="16.5" thickBot="1">
      <c r="A37" s="247">
        <f t="shared" si="0"/>
        <v>26</v>
      </c>
      <c r="B37" s="466" t="s">
        <v>353</v>
      </c>
      <c r="C37" s="839">
        <f>SUM(C35:C36)</f>
        <v>-3280.7507217513194</v>
      </c>
      <c r="D37" s="164"/>
      <c r="E37" s="839">
        <f>SUM(E35:E36)</f>
        <v>0</v>
      </c>
      <c r="F37" s="323"/>
      <c r="G37" s="839">
        <f>SUM(G35:G36)</f>
        <v>0</v>
      </c>
      <c r="H37" s="164"/>
      <c r="I37" s="839">
        <f>SUM(I35:I36)</f>
        <v>-3280.7507217513194</v>
      </c>
      <c r="J37" s="323"/>
      <c r="K37" s="840" t="str">
        <f>"Sum Lines "&amp;A35&amp;" thru "&amp;A36</f>
        <v>Sum Lines 24 thru 25</v>
      </c>
      <c r="L37" s="247">
        <f t="shared" si="1"/>
        <v>26</v>
      </c>
    </row>
    <row r="38" spans="1:12" ht="16.5" thickTop="1">
      <c r="A38" s="247">
        <f t="shared" si="0"/>
        <v>27</v>
      </c>
      <c r="L38" s="247">
        <f t="shared" si="1"/>
        <v>27</v>
      </c>
    </row>
    <row r="39" spans="1:12">
      <c r="A39" s="247">
        <f t="shared" si="0"/>
        <v>28</v>
      </c>
      <c r="B39" s="420" t="s">
        <v>899</v>
      </c>
      <c r="C39" s="837"/>
      <c r="D39" s="837"/>
      <c r="E39" s="837"/>
      <c r="F39" s="837"/>
      <c r="G39" s="837"/>
      <c r="H39" s="837"/>
      <c r="I39" s="481"/>
      <c r="J39" s="481"/>
      <c r="K39" s="247"/>
      <c r="L39" s="247">
        <f t="shared" si="1"/>
        <v>28</v>
      </c>
    </row>
    <row r="40" spans="1:12">
      <c r="A40" s="247">
        <f t="shared" si="0"/>
        <v>29</v>
      </c>
      <c r="B40" s="420"/>
      <c r="C40" s="376">
        <v>0</v>
      </c>
      <c r="D40" s="376"/>
      <c r="E40" s="376">
        <v>0</v>
      </c>
      <c r="F40" s="376"/>
      <c r="G40" s="376">
        <v>0</v>
      </c>
      <c r="H40" s="376"/>
      <c r="I40" s="376">
        <f>SUM(C40:G40)</f>
        <v>0</v>
      </c>
      <c r="J40" s="376"/>
      <c r="K40" s="65" t="str">
        <f>"Not Applicable to "&amp;Automation!$B$3-1&amp;" Base Period"</f>
        <v>Not Applicable to 2023 Base Period</v>
      </c>
      <c r="L40" s="247">
        <f t="shared" si="1"/>
        <v>29</v>
      </c>
    </row>
    <row r="41" spans="1:12">
      <c r="A41" s="247">
        <f t="shared" si="0"/>
        <v>30</v>
      </c>
      <c r="B41" s="420"/>
      <c r="C41" s="164">
        <v>0</v>
      </c>
      <c r="D41" s="164"/>
      <c r="E41" s="164">
        <v>0</v>
      </c>
      <c r="F41" s="164"/>
      <c r="G41" s="164">
        <v>0</v>
      </c>
      <c r="H41" s="164"/>
      <c r="I41" s="164">
        <f>SUM(C41:G41)</f>
        <v>0</v>
      </c>
      <c r="J41" s="164"/>
      <c r="K41" s="164"/>
      <c r="L41" s="247">
        <f t="shared" si="1"/>
        <v>30</v>
      </c>
    </row>
    <row r="42" spans="1:12" ht="16.5" thickBot="1">
      <c r="A42" s="247">
        <f t="shared" si="0"/>
        <v>31</v>
      </c>
      <c r="B42" s="466" t="s">
        <v>356</v>
      </c>
      <c r="C42" s="839">
        <f>SUM(C40:C41)</f>
        <v>0</v>
      </c>
      <c r="D42" s="164"/>
      <c r="E42" s="839">
        <f>SUM(E40:E41)</f>
        <v>0</v>
      </c>
      <c r="F42" s="323"/>
      <c r="G42" s="839">
        <f>SUM(G40:G41)</f>
        <v>0</v>
      </c>
      <c r="H42" s="164"/>
      <c r="I42" s="839">
        <f>SUM(I40:I41)</f>
        <v>0</v>
      </c>
      <c r="J42" s="323"/>
      <c r="K42" s="840" t="str">
        <f>"Sum Lines "&amp;A40&amp;" thru "&amp;A41</f>
        <v>Sum Lines 29 thru 30</v>
      </c>
      <c r="L42" s="247">
        <f t="shared" si="1"/>
        <v>31</v>
      </c>
    </row>
    <row r="43" spans="1:12" ht="17.25" thickTop="1" thickBot="1">
      <c r="A43" s="247">
        <f t="shared" si="0"/>
        <v>32</v>
      </c>
      <c r="B43" s="870"/>
      <c r="C43" s="871"/>
      <c r="D43" s="274"/>
      <c r="E43" s="871"/>
      <c r="F43" s="871"/>
      <c r="G43" s="871"/>
      <c r="H43" s="274"/>
      <c r="I43" s="871"/>
      <c r="J43" s="871"/>
      <c r="K43" s="872"/>
      <c r="L43" s="247">
        <f t="shared" si="1"/>
        <v>32</v>
      </c>
    </row>
    <row r="44" spans="1:12">
      <c r="A44" s="247">
        <f t="shared" si="0"/>
        <v>33</v>
      </c>
      <c r="B44" s="466"/>
      <c r="C44" s="323"/>
      <c r="D44" s="164"/>
      <c r="E44" s="323"/>
      <c r="F44" s="323"/>
      <c r="G44" s="323"/>
      <c r="H44" s="164"/>
      <c r="I44" s="323"/>
      <c r="J44" s="323"/>
      <c r="K44" s="840"/>
      <c r="L44" s="247">
        <f t="shared" si="1"/>
        <v>33</v>
      </c>
    </row>
    <row r="45" spans="1:12">
      <c r="A45" s="247">
        <f t="shared" si="0"/>
        <v>34</v>
      </c>
      <c r="B45" s="64" t="s">
        <v>334</v>
      </c>
      <c r="C45" s="11">
        <v>0</v>
      </c>
      <c r="D45" s="164"/>
      <c r="E45" s="11">
        <v>0</v>
      </c>
      <c r="F45" s="323"/>
      <c r="G45" s="11">
        <v>0</v>
      </c>
      <c r="H45" s="164"/>
      <c r="I45" s="376">
        <f>SUM(C45:G45)</f>
        <v>0</v>
      </c>
      <c r="J45" s="376"/>
      <c r="K45" s="65" t="str">
        <f>"Not Applicable to "&amp;Automation!$B$3-1&amp;" Base Period"</f>
        <v>Not Applicable to 2023 Base Period</v>
      </c>
      <c r="L45" s="247">
        <f t="shared" si="1"/>
        <v>34</v>
      </c>
    </row>
    <row r="46" spans="1:12">
      <c r="B46" s="466"/>
      <c r="C46" s="323"/>
      <c r="D46" s="164"/>
      <c r="E46" s="323"/>
      <c r="F46" s="323"/>
      <c r="G46" s="323"/>
      <c r="H46" s="164"/>
      <c r="I46" s="323"/>
      <c r="J46" s="323"/>
      <c r="K46" s="840"/>
    </row>
    <row r="47" spans="1:12">
      <c r="I47" s="907"/>
      <c r="J47" s="907"/>
    </row>
    <row r="48" spans="1:12">
      <c r="A48" s="1249"/>
      <c r="B48" s="1259"/>
      <c r="I48" s="907"/>
      <c r="J48" s="907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9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5E7E-7CAE-4399-B6F7-2D549ACA32DC}">
  <sheetPr>
    <pageSetUpPr fitToPage="1"/>
  </sheetPr>
  <dimension ref="A2:M48"/>
  <sheetViews>
    <sheetView topLeftCell="A16" zoomScale="80" zoomScaleNormal="80" zoomScaleSheetLayoutView="70" workbookViewId="0">
      <selection activeCell="N22" sqref="N22"/>
    </sheetView>
  </sheetViews>
  <sheetFormatPr defaultColWidth="8.5703125" defaultRowHeight="15.75"/>
  <cols>
    <col min="1" max="1" width="5.5703125" style="247" customWidth="1"/>
    <col min="2" max="2" width="62.5703125" style="216" bestFit="1" customWidth="1"/>
    <col min="3" max="3" width="16.5703125" style="216" customWidth="1"/>
    <col min="4" max="4" width="1.5703125" style="216" customWidth="1"/>
    <col min="5" max="5" width="16.5703125" style="216" customWidth="1"/>
    <col min="6" max="6" width="1.5703125" style="216" customWidth="1"/>
    <col min="7" max="7" width="16.5703125" style="216" customWidth="1"/>
    <col min="8" max="8" width="1.5703125" style="216" customWidth="1"/>
    <col min="9" max="9" width="23.42578125" style="216" bestFit="1" customWidth="1"/>
    <col min="10" max="10" width="62.5703125" style="216" customWidth="1"/>
    <col min="11" max="11" width="5.140625" style="247" customWidth="1"/>
    <col min="12" max="12" width="8.5703125" style="216"/>
    <col min="13" max="13" width="17.42578125" style="216" bestFit="1" customWidth="1"/>
    <col min="14" max="16384" width="8.5703125" style="216"/>
  </cols>
  <sheetData>
    <row r="2" spans="1:13">
      <c r="B2" s="1281" t="s">
        <v>0</v>
      </c>
      <c r="C2" s="1281"/>
      <c r="D2" s="1281"/>
      <c r="E2" s="1281"/>
      <c r="F2" s="1281"/>
      <c r="G2" s="1281"/>
      <c r="H2" s="1281"/>
      <c r="I2" s="1281"/>
      <c r="J2" s="1281"/>
    </row>
    <row r="3" spans="1:13">
      <c r="B3" s="1281" t="s">
        <v>337</v>
      </c>
      <c r="C3" s="1281"/>
      <c r="D3" s="1281"/>
      <c r="E3" s="1281"/>
      <c r="F3" s="1281"/>
      <c r="G3" s="1281"/>
      <c r="H3" s="1281"/>
      <c r="I3" s="1281"/>
      <c r="J3" s="1281"/>
    </row>
    <row r="4" spans="1:13">
      <c r="B4" s="1281" t="s">
        <v>338</v>
      </c>
      <c r="C4" s="1281"/>
      <c r="D4" s="1281"/>
      <c r="E4" s="1281"/>
      <c r="F4" s="1281"/>
      <c r="G4" s="1281"/>
      <c r="H4" s="1281"/>
      <c r="I4" s="1281"/>
      <c r="J4" s="1281"/>
    </row>
    <row r="5" spans="1:13">
      <c r="B5" s="1281" t="str">
        <f>"Base Period 12 Months Ending December 31, "&amp;Automation!$B$3</f>
        <v>Base Period 12 Months Ending December 31, 2024</v>
      </c>
      <c r="C5" s="1281"/>
      <c r="D5" s="1281"/>
      <c r="E5" s="1281"/>
      <c r="F5" s="1281"/>
      <c r="G5" s="1281"/>
      <c r="H5" s="1281"/>
      <c r="I5" s="1281"/>
      <c r="J5" s="1281"/>
    </row>
    <row r="6" spans="1:13" ht="15.75" customHeight="1">
      <c r="B6" s="1279" t="s">
        <v>3</v>
      </c>
      <c r="C6" s="1279"/>
      <c r="D6" s="1279"/>
      <c r="E6" s="1279"/>
      <c r="F6" s="1279"/>
      <c r="G6" s="1279"/>
      <c r="H6" s="1279"/>
      <c r="I6" s="1279"/>
      <c r="J6" s="1279"/>
    </row>
    <row r="8" spans="1:13">
      <c r="B8" s="237"/>
      <c r="C8" s="690" t="s">
        <v>77</v>
      </c>
      <c r="D8" s="690"/>
      <c r="E8" s="690" t="s">
        <v>78</v>
      </c>
      <c r="F8" s="690"/>
      <c r="G8" s="690" t="s">
        <v>339</v>
      </c>
      <c r="H8" s="690"/>
      <c r="I8" s="690" t="s">
        <v>340</v>
      </c>
      <c r="J8" s="690"/>
    </row>
    <row r="9" spans="1:13">
      <c r="A9" s="247" t="s">
        <v>4</v>
      </c>
      <c r="B9" s="237"/>
      <c r="C9" s="690" t="s">
        <v>341</v>
      </c>
      <c r="D9" s="690"/>
      <c r="E9" s="690" t="s">
        <v>342</v>
      </c>
      <c r="F9" s="690"/>
      <c r="G9" s="690" t="s">
        <v>342</v>
      </c>
      <c r="H9" s="690"/>
      <c r="I9" s="690"/>
      <c r="J9" s="690"/>
      <c r="K9" s="247" t="s">
        <v>4</v>
      </c>
    </row>
    <row r="10" spans="1:13">
      <c r="A10" s="247" t="s">
        <v>5</v>
      </c>
      <c r="B10" s="986" t="s">
        <v>261</v>
      </c>
      <c r="C10" s="1045" t="s">
        <v>343</v>
      </c>
      <c r="D10" s="1045"/>
      <c r="E10" s="1045" t="s">
        <v>344</v>
      </c>
      <c r="F10" s="1045"/>
      <c r="G10" s="1045" t="s">
        <v>345</v>
      </c>
      <c r="H10" s="1045"/>
      <c r="I10" s="986" t="s">
        <v>80</v>
      </c>
      <c r="J10" s="986" t="s">
        <v>8</v>
      </c>
      <c r="K10" s="247" t="s">
        <v>5</v>
      </c>
    </row>
    <row r="11" spans="1:13">
      <c r="B11" s="237"/>
      <c r="C11" s="836"/>
      <c r="D11" s="836"/>
      <c r="E11" s="836"/>
      <c r="F11" s="836"/>
      <c r="G11" s="836"/>
      <c r="H11" s="836"/>
      <c r="I11" s="481"/>
      <c r="J11" s="481"/>
    </row>
    <row r="12" spans="1:13">
      <c r="A12" s="247">
        <v>1</v>
      </c>
      <c r="B12" s="420" t="s">
        <v>346</v>
      </c>
      <c r="C12" s="837"/>
      <c r="D12" s="837"/>
      <c r="E12" s="837"/>
      <c r="F12" s="837"/>
      <c r="G12" s="837"/>
      <c r="H12" s="837"/>
      <c r="I12" s="481"/>
      <c r="J12" s="481"/>
      <c r="K12" s="247">
        <f>A12</f>
        <v>1</v>
      </c>
    </row>
    <row r="13" spans="1:13">
      <c r="A13" s="247">
        <f>A12+1</f>
        <v>2</v>
      </c>
      <c r="B13" s="420" t="s">
        <v>347</v>
      </c>
      <c r="C13" s="473">
        <v>997.58425549910271</v>
      </c>
      <c r="D13" s="473"/>
      <c r="E13" s="473">
        <v>0</v>
      </c>
      <c r="F13" s="473"/>
      <c r="G13" s="473">
        <v>0</v>
      </c>
      <c r="H13" s="838"/>
      <c r="I13" s="376">
        <f>SUM(C13:G13)</f>
        <v>997.58425549910271</v>
      </c>
      <c r="J13" s="401" t="s">
        <v>1019</v>
      </c>
      <c r="K13" s="247">
        <f>K12+1</f>
        <v>2</v>
      </c>
    </row>
    <row r="14" spans="1:13">
      <c r="A14" s="247">
        <f t="shared" ref="A14:A45" si="0">A13+1</f>
        <v>3</v>
      </c>
      <c r="B14" s="420" t="s">
        <v>348</v>
      </c>
      <c r="C14" s="491">
        <v>170.14098800856334</v>
      </c>
      <c r="D14" s="491"/>
      <c r="E14" s="491">
        <v>0</v>
      </c>
      <c r="F14" s="491"/>
      <c r="G14" s="491">
        <v>0</v>
      </c>
      <c r="H14" s="491"/>
      <c r="I14" s="164">
        <f>SUM(C14:G14)</f>
        <v>170.14098800856334</v>
      </c>
      <c r="J14" s="401" t="s">
        <v>1019</v>
      </c>
      <c r="K14" s="247">
        <f t="shared" ref="K14:K45" si="1">K13+1</f>
        <v>3</v>
      </c>
      <c r="M14" s="907"/>
    </row>
    <row r="15" spans="1:13">
      <c r="A15" s="247">
        <f t="shared" si="0"/>
        <v>4</v>
      </c>
      <c r="B15" s="420" t="s">
        <v>349</v>
      </c>
      <c r="C15" s="491">
        <v>0</v>
      </c>
      <c r="D15" s="491"/>
      <c r="E15" s="491">
        <v>100815.67964361192</v>
      </c>
      <c r="F15" s="491"/>
      <c r="G15" s="491">
        <v>0</v>
      </c>
      <c r="H15" s="491"/>
      <c r="I15" s="164">
        <f>SUM(C15:G15)</f>
        <v>100815.67964361192</v>
      </c>
      <c r="J15" s="401" t="s">
        <v>1019</v>
      </c>
      <c r="K15" s="247">
        <f t="shared" si="1"/>
        <v>4</v>
      </c>
    </row>
    <row r="16" spans="1:13" ht="16.5" thickBot="1">
      <c r="A16" s="247">
        <f t="shared" si="0"/>
        <v>5</v>
      </c>
      <c r="B16" s="466" t="s">
        <v>350</v>
      </c>
      <c r="C16" s="839">
        <f>SUM(C13:C15)</f>
        <v>1167.7252435076662</v>
      </c>
      <c r="D16" s="164"/>
      <c r="E16" s="839">
        <f>SUM(E13:E15)</f>
        <v>100815.67964361192</v>
      </c>
      <c r="F16" s="323"/>
      <c r="G16" s="839">
        <f>SUM(G13:G15)</f>
        <v>0</v>
      </c>
      <c r="H16" s="164"/>
      <c r="I16" s="839">
        <f>SUM(I13:I15)</f>
        <v>101983.40488711958</v>
      </c>
      <c r="J16" s="840" t="str">
        <f>"Sum Lines "&amp;A13&amp;" thru "&amp;A15</f>
        <v>Sum Lines 2 thru 4</v>
      </c>
      <c r="K16" s="247">
        <f t="shared" si="1"/>
        <v>5</v>
      </c>
    </row>
    <row r="17" spans="1:13" ht="16.5" thickTop="1">
      <c r="A17" s="247">
        <f t="shared" si="0"/>
        <v>6</v>
      </c>
      <c r="C17" s="841"/>
      <c r="D17" s="841"/>
      <c r="E17" s="841"/>
      <c r="F17" s="841"/>
      <c r="G17" s="841"/>
      <c r="H17" s="841"/>
      <c r="I17" s="841"/>
      <c r="J17" s="841"/>
      <c r="K17" s="247">
        <f t="shared" si="1"/>
        <v>6</v>
      </c>
    </row>
    <row r="18" spans="1:13">
      <c r="A18" s="247">
        <f t="shared" si="0"/>
        <v>7</v>
      </c>
      <c r="B18" s="420" t="s">
        <v>351</v>
      </c>
      <c r="C18" s="837"/>
      <c r="D18" s="837"/>
      <c r="E18" s="837"/>
      <c r="F18" s="837"/>
      <c r="G18" s="837"/>
      <c r="H18" s="837"/>
      <c r="I18" s="481"/>
      <c r="J18" s="481"/>
      <c r="K18" s="247">
        <f t="shared" si="1"/>
        <v>7</v>
      </c>
    </row>
    <row r="19" spans="1:13">
      <c r="A19" s="247">
        <f t="shared" si="0"/>
        <v>8</v>
      </c>
      <c r="B19" s="842" t="s">
        <v>352</v>
      </c>
      <c r="C19" s="376">
        <v>-895775.55474620045</v>
      </c>
      <c r="D19" s="376"/>
      <c r="E19" s="376">
        <v>-356126.56209857157</v>
      </c>
      <c r="F19" s="376"/>
      <c r="G19" s="376">
        <v>8657.6922887997935</v>
      </c>
      <c r="H19" s="376"/>
      <c r="I19" s="376">
        <f>SUM(C19:G19)</f>
        <v>-1243244.4245559722</v>
      </c>
      <c r="J19" s="1244" t="s">
        <v>1020</v>
      </c>
      <c r="K19" s="247">
        <f t="shared" si="1"/>
        <v>8</v>
      </c>
      <c r="M19" s="164"/>
    </row>
    <row r="20" spans="1:13">
      <c r="A20" s="247">
        <f t="shared" si="0"/>
        <v>9</v>
      </c>
      <c r="C20" s="164">
        <v>0</v>
      </c>
      <c r="D20" s="164"/>
      <c r="E20" s="164">
        <v>0</v>
      </c>
      <c r="F20" s="164"/>
      <c r="G20" s="164">
        <v>0</v>
      </c>
      <c r="H20" s="164"/>
      <c r="I20" s="164">
        <f>SUM(C20:G20)</f>
        <v>0</v>
      </c>
      <c r="J20" s="164"/>
      <c r="K20" s="247">
        <f t="shared" si="1"/>
        <v>9</v>
      </c>
    </row>
    <row r="21" spans="1:13" ht="16.5" thickBot="1">
      <c r="A21" s="247">
        <f t="shared" si="0"/>
        <v>10</v>
      </c>
      <c r="B21" s="466" t="s">
        <v>353</v>
      </c>
      <c r="C21" s="839">
        <f>SUM(C19:C20)</f>
        <v>-895775.55474620045</v>
      </c>
      <c r="D21" s="164"/>
      <c r="E21" s="839">
        <f>SUM(E19:E20)</f>
        <v>-356126.56209857157</v>
      </c>
      <c r="F21" s="323"/>
      <c r="G21" s="839">
        <f>SUM(G19:G20)</f>
        <v>8657.6922887997935</v>
      </c>
      <c r="H21" s="164"/>
      <c r="I21" s="839">
        <f>SUM(I19:I20)</f>
        <v>-1243244.4245559722</v>
      </c>
      <c r="J21" s="840" t="str">
        <f>"Sum Lines "&amp;A19&amp;" thru "&amp;A20</f>
        <v>Sum Lines 8 thru 9</v>
      </c>
      <c r="K21" s="247">
        <f t="shared" si="1"/>
        <v>10</v>
      </c>
    </row>
    <row r="22" spans="1:13" ht="16.5" thickTop="1">
      <c r="A22" s="247">
        <f t="shared" si="0"/>
        <v>11</v>
      </c>
      <c r="K22" s="247">
        <f t="shared" si="1"/>
        <v>11</v>
      </c>
    </row>
    <row r="23" spans="1:13">
      <c r="A23" s="247">
        <f t="shared" si="0"/>
        <v>12</v>
      </c>
      <c r="B23" s="420" t="s">
        <v>354</v>
      </c>
      <c r="C23" s="837"/>
      <c r="D23" s="837"/>
      <c r="E23" s="837"/>
      <c r="F23" s="837"/>
      <c r="G23" s="837"/>
      <c r="H23" s="837"/>
      <c r="I23" s="481"/>
      <c r="J23" s="247"/>
      <c r="K23" s="247">
        <f t="shared" si="1"/>
        <v>12</v>
      </c>
    </row>
    <row r="24" spans="1:13">
      <c r="A24" s="247">
        <f t="shared" si="0"/>
        <v>13</v>
      </c>
      <c r="B24" s="420" t="s">
        <v>355</v>
      </c>
      <c r="C24" s="473">
        <v>-10383.075545153648</v>
      </c>
      <c r="D24" s="473"/>
      <c r="E24" s="473">
        <v>0</v>
      </c>
      <c r="F24" s="473"/>
      <c r="G24" s="473">
        <v>0</v>
      </c>
      <c r="H24" s="838"/>
      <c r="I24" s="376">
        <f>SUM(C24:G24)</f>
        <v>-10383.075545153648</v>
      </c>
      <c r="J24" s="401" t="s">
        <v>1021</v>
      </c>
      <c r="K24" s="247">
        <f t="shared" si="1"/>
        <v>13</v>
      </c>
    </row>
    <row r="25" spans="1:13">
      <c r="A25" s="247">
        <f t="shared" si="0"/>
        <v>14</v>
      </c>
      <c r="B25" s="420"/>
      <c r="C25" s="164">
        <v>0</v>
      </c>
      <c r="D25" s="164"/>
      <c r="E25" s="164">
        <v>0</v>
      </c>
      <c r="F25" s="164"/>
      <c r="G25" s="164">
        <v>0</v>
      </c>
      <c r="H25" s="164"/>
      <c r="I25" s="164">
        <f>SUM(C25:G25)</f>
        <v>0</v>
      </c>
      <c r="J25" s="164"/>
      <c r="K25" s="247">
        <f t="shared" si="1"/>
        <v>14</v>
      </c>
    </row>
    <row r="26" spans="1:13" ht="16.5" thickBot="1">
      <c r="A26" s="247">
        <f t="shared" si="0"/>
        <v>15</v>
      </c>
      <c r="B26" s="466" t="s">
        <v>356</v>
      </c>
      <c r="C26" s="839">
        <f>SUM(C24:C25)</f>
        <v>-10383.075545153648</v>
      </c>
      <c r="D26" s="164"/>
      <c r="E26" s="839">
        <f>SUM(E24:E25)</f>
        <v>0</v>
      </c>
      <c r="F26" s="323"/>
      <c r="G26" s="839">
        <f>SUM(G24:G25)</f>
        <v>0</v>
      </c>
      <c r="H26" s="164"/>
      <c r="I26" s="839">
        <f>SUM(I24:I25)</f>
        <v>-10383.075545153648</v>
      </c>
      <c r="J26" s="840" t="str">
        <f>"Sum Lines "&amp;A24&amp;" thru "&amp;A25</f>
        <v>Sum Lines 13 thru 14</v>
      </c>
      <c r="K26" s="247">
        <f t="shared" si="1"/>
        <v>15</v>
      </c>
    </row>
    <row r="27" spans="1:13" ht="17.25" thickTop="1" thickBot="1">
      <c r="A27" s="247">
        <f t="shared" si="0"/>
        <v>16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47">
        <f t="shared" si="1"/>
        <v>16</v>
      </c>
    </row>
    <row r="28" spans="1:13">
      <c r="A28" s="247">
        <f t="shared" si="0"/>
        <v>17</v>
      </c>
      <c r="K28" s="247">
        <f t="shared" si="1"/>
        <v>17</v>
      </c>
    </row>
    <row r="29" spans="1:13">
      <c r="A29" s="247">
        <f t="shared" si="0"/>
        <v>18</v>
      </c>
      <c r="B29" s="420" t="s">
        <v>898</v>
      </c>
      <c r="C29" s="837"/>
      <c r="D29" s="837"/>
      <c r="E29" s="837"/>
      <c r="F29" s="837"/>
      <c r="G29" s="837"/>
      <c r="H29" s="837"/>
      <c r="I29" s="481"/>
      <c r="J29" s="481"/>
      <c r="K29" s="247">
        <f t="shared" si="1"/>
        <v>18</v>
      </c>
    </row>
    <row r="30" spans="1:13">
      <c r="A30" s="247">
        <f t="shared" si="0"/>
        <v>19</v>
      </c>
      <c r="B30" s="420" t="s">
        <v>349</v>
      </c>
      <c r="C30" s="376">
        <v>0</v>
      </c>
      <c r="D30" s="376"/>
      <c r="E30" s="376">
        <v>0</v>
      </c>
      <c r="F30" s="376"/>
      <c r="G30" s="376">
        <v>0</v>
      </c>
      <c r="H30" s="473"/>
      <c r="I30" s="376">
        <f>SUM(C30:G30)</f>
        <v>0</v>
      </c>
      <c r="J30" s="65" t="str">
        <f>"Not Applicable to "&amp;Automation!$B$3&amp;" Base Period"</f>
        <v>Not Applicable to 2024 Base Period</v>
      </c>
      <c r="K30" s="247">
        <f t="shared" si="1"/>
        <v>19</v>
      </c>
    </row>
    <row r="31" spans="1:13">
      <c r="A31" s="247">
        <f t="shared" si="0"/>
        <v>20</v>
      </c>
      <c r="C31" s="164">
        <v>0</v>
      </c>
      <c r="D31" s="164"/>
      <c r="E31" s="164">
        <v>0</v>
      </c>
      <c r="F31" s="164"/>
      <c r="G31" s="164">
        <v>0</v>
      </c>
      <c r="H31" s="164"/>
      <c r="I31" s="164">
        <f>SUM(C31:G31)</f>
        <v>0</v>
      </c>
      <c r="J31" s="164"/>
      <c r="K31" s="247">
        <f t="shared" si="1"/>
        <v>20</v>
      </c>
    </row>
    <row r="32" spans="1:13" ht="16.5" thickBot="1">
      <c r="A32" s="247">
        <f t="shared" si="0"/>
        <v>21</v>
      </c>
      <c r="B32" s="466" t="s">
        <v>350</v>
      </c>
      <c r="C32" s="839">
        <f>SUM(C30:C31)</f>
        <v>0</v>
      </c>
      <c r="D32" s="164"/>
      <c r="E32" s="839">
        <f>SUM(E30:E31)</f>
        <v>0</v>
      </c>
      <c r="F32" s="323"/>
      <c r="G32" s="839">
        <f>SUM(G30:G31)</f>
        <v>0</v>
      </c>
      <c r="H32" s="164"/>
      <c r="I32" s="839">
        <f>SUM(I30:I31)</f>
        <v>0</v>
      </c>
      <c r="J32" s="840" t="str">
        <f>"Sum Lines "&amp;A30&amp;" thru "&amp;A31</f>
        <v>Sum Lines 19 thru 20</v>
      </c>
      <c r="K32" s="247">
        <f t="shared" si="1"/>
        <v>21</v>
      </c>
    </row>
    <row r="33" spans="1:11" ht="16.5" thickTop="1">
      <c r="A33" s="247">
        <f t="shared" si="0"/>
        <v>22</v>
      </c>
      <c r="C33" s="841"/>
      <c r="D33" s="841"/>
      <c r="E33" s="841"/>
      <c r="F33" s="841"/>
      <c r="G33" s="841"/>
      <c r="H33" s="841"/>
      <c r="I33" s="841"/>
      <c r="J33" s="841"/>
      <c r="K33" s="247">
        <f t="shared" si="1"/>
        <v>22</v>
      </c>
    </row>
    <row r="34" spans="1:11">
      <c r="A34" s="247">
        <f t="shared" si="0"/>
        <v>23</v>
      </c>
      <c r="B34" s="420" t="s">
        <v>891</v>
      </c>
      <c r="C34" s="837"/>
      <c r="D34" s="837"/>
      <c r="E34" s="837"/>
      <c r="F34" s="837"/>
      <c r="G34" s="837"/>
      <c r="H34" s="837"/>
      <c r="I34" s="481"/>
      <c r="J34" s="481"/>
      <c r="K34" s="247">
        <f t="shared" si="1"/>
        <v>23</v>
      </c>
    </row>
    <row r="35" spans="1:11">
      <c r="A35" s="247">
        <f t="shared" si="0"/>
        <v>24</v>
      </c>
      <c r="B35" s="842" t="s">
        <v>352</v>
      </c>
      <c r="C35" s="376">
        <v>-3316.0936794035993</v>
      </c>
      <c r="D35" s="376"/>
      <c r="E35" s="376">
        <v>0</v>
      </c>
      <c r="F35" s="376"/>
      <c r="G35" s="376">
        <v>0</v>
      </c>
      <c r="H35" s="376"/>
      <c r="I35" s="376">
        <f>SUM(C35:G35)</f>
        <v>-3316.0936794035993</v>
      </c>
      <c r="J35" s="401" t="s">
        <v>1022</v>
      </c>
      <c r="K35" s="247">
        <f t="shared" si="1"/>
        <v>24</v>
      </c>
    </row>
    <row r="36" spans="1:11">
      <c r="A36" s="247">
        <f t="shared" si="0"/>
        <v>25</v>
      </c>
      <c r="C36" s="164">
        <v>0</v>
      </c>
      <c r="D36" s="164"/>
      <c r="E36" s="164">
        <v>0</v>
      </c>
      <c r="F36" s="164"/>
      <c r="G36" s="164">
        <v>0</v>
      </c>
      <c r="H36" s="164"/>
      <c r="I36" s="164">
        <f>SUM(C36:G36)</f>
        <v>0</v>
      </c>
      <c r="J36" s="164"/>
      <c r="K36" s="247">
        <f t="shared" si="1"/>
        <v>25</v>
      </c>
    </row>
    <row r="37" spans="1:11" ht="16.5" thickBot="1">
      <c r="A37" s="247">
        <f t="shared" si="0"/>
        <v>26</v>
      </c>
      <c r="B37" s="466" t="s">
        <v>353</v>
      </c>
      <c r="C37" s="839">
        <f>SUM(C35:C36)</f>
        <v>-3316.0936794035993</v>
      </c>
      <c r="D37" s="164"/>
      <c r="E37" s="839">
        <f>SUM(E35:E36)</f>
        <v>0</v>
      </c>
      <c r="F37" s="323"/>
      <c r="G37" s="839">
        <f>SUM(G35:G36)</f>
        <v>0</v>
      </c>
      <c r="H37" s="164"/>
      <c r="I37" s="839">
        <f>SUM(I35:I36)</f>
        <v>-3316.0936794035993</v>
      </c>
      <c r="J37" s="840" t="str">
        <f>"Sum Lines "&amp;A35&amp;" thru "&amp;A36</f>
        <v>Sum Lines 24 thru 25</v>
      </c>
      <c r="K37" s="247">
        <f t="shared" si="1"/>
        <v>26</v>
      </c>
    </row>
    <row r="38" spans="1:11" ht="16.5" thickTop="1">
      <c r="A38" s="247">
        <f t="shared" si="0"/>
        <v>27</v>
      </c>
      <c r="K38" s="247">
        <f t="shared" si="1"/>
        <v>27</v>
      </c>
    </row>
    <row r="39" spans="1:11">
      <c r="A39" s="247">
        <f t="shared" si="0"/>
        <v>28</v>
      </c>
      <c r="B39" s="420" t="s">
        <v>899</v>
      </c>
      <c r="C39" s="837"/>
      <c r="D39" s="837"/>
      <c r="E39" s="837"/>
      <c r="F39" s="837"/>
      <c r="G39" s="837"/>
      <c r="H39" s="837"/>
      <c r="I39" s="481"/>
      <c r="J39" s="247"/>
      <c r="K39" s="247">
        <f t="shared" si="1"/>
        <v>28</v>
      </c>
    </row>
    <row r="40" spans="1:11">
      <c r="A40" s="247">
        <f t="shared" si="0"/>
        <v>29</v>
      </c>
      <c r="B40" s="420"/>
      <c r="C40" s="376">
        <v>0</v>
      </c>
      <c r="D40" s="376"/>
      <c r="E40" s="376">
        <v>0</v>
      </c>
      <c r="F40" s="376"/>
      <c r="G40" s="376">
        <v>0</v>
      </c>
      <c r="H40" s="376"/>
      <c r="I40" s="376">
        <f>SUM(C40:G40)</f>
        <v>0</v>
      </c>
      <c r="J40" s="65" t="str">
        <f>"Not Applicable to "&amp;Automation!$B$3&amp;" Base Period"</f>
        <v>Not Applicable to 2024 Base Period</v>
      </c>
      <c r="K40" s="247">
        <f t="shared" si="1"/>
        <v>29</v>
      </c>
    </row>
    <row r="41" spans="1:11">
      <c r="A41" s="247">
        <f t="shared" si="0"/>
        <v>30</v>
      </c>
      <c r="B41" s="420"/>
      <c r="C41" s="164">
        <v>0</v>
      </c>
      <c r="D41" s="164"/>
      <c r="E41" s="164">
        <v>0</v>
      </c>
      <c r="F41" s="164"/>
      <c r="G41" s="164">
        <v>0</v>
      </c>
      <c r="H41" s="164"/>
      <c r="I41" s="164">
        <f>SUM(C41:G41)</f>
        <v>0</v>
      </c>
      <c r="J41" s="164"/>
      <c r="K41" s="247">
        <f t="shared" si="1"/>
        <v>30</v>
      </c>
    </row>
    <row r="42" spans="1:11" ht="16.5" thickBot="1">
      <c r="A42" s="247">
        <f t="shared" si="0"/>
        <v>31</v>
      </c>
      <c r="B42" s="466" t="s">
        <v>356</v>
      </c>
      <c r="C42" s="839">
        <f>SUM(C40:C41)</f>
        <v>0</v>
      </c>
      <c r="D42" s="164"/>
      <c r="E42" s="839">
        <f>SUM(E40:E41)</f>
        <v>0</v>
      </c>
      <c r="F42" s="323"/>
      <c r="G42" s="839">
        <f>SUM(G40:G41)</f>
        <v>0</v>
      </c>
      <c r="H42" s="164"/>
      <c r="I42" s="839">
        <f>SUM(I40:I41)</f>
        <v>0</v>
      </c>
      <c r="J42" s="840" t="str">
        <f>"Sum Lines "&amp;A40&amp;" thru "&amp;A41</f>
        <v>Sum Lines 29 thru 30</v>
      </c>
      <c r="K42" s="247">
        <f t="shared" si="1"/>
        <v>31</v>
      </c>
    </row>
    <row r="43" spans="1:11" ht="17.25" thickTop="1" thickBot="1">
      <c r="A43" s="247">
        <f t="shared" si="0"/>
        <v>32</v>
      </c>
      <c r="B43" s="870"/>
      <c r="C43" s="871"/>
      <c r="D43" s="274"/>
      <c r="E43" s="871"/>
      <c r="F43" s="871"/>
      <c r="G43" s="871"/>
      <c r="H43" s="274"/>
      <c r="I43" s="871"/>
      <c r="J43" s="872"/>
      <c r="K43" s="247">
        <f t="shared" si="1"/>
        <v>32</v>
      </c>
    </row>
    <row r="44" spans="1:11">
      <c r="A44" s="247">
        <f t="shared" si="0"/>
        <v>33</v>
      </c>
      <c r="B44" s="466"/>
      <c r="C44" s="323"/>
      <c r="D44" s="164"/>
      <c r="E44" s="323"/>
      <c r="F44" s="323"/>
      <c r="G44" s="323"/>
      <c r="H44" s="164"/>
      <c r="I44" s="323"/>
      <c r="J44" s="840"/>
      <c r="K44" s="247">
        <f t="shared" si="1"/>
        <v>33</v>
      </c>
    </row>
    <row r="45" spans="1:11">
      <c r="A45" s="247">
        <f t="shared" si="0"/>
        <v>34</v>
      </c>
      <c r="B45" s="64" t="s">
        <v>334</v>
      </c>
      <c r="C45" s="11">
        <v>0</v>
      </c>
      <c r="D45" s="164"/>
      <c r="E45" s="11">
        <v>0</v>
      </c>
      <c r="F45" s="323"/>
      <c r="G45" s="11">
        <v>0</v>
      </c>
      <c r="H45" s="164"/>
      <c r="I45" s="376">
        <f>SUM(C45:G45)</f>
        <v>0</v>
      </c>
      <c r="J45" s="65" t="str">
        <f>"Not Applicable to "&amp;Automation!$B$3&amp;" Base Period"</f>
        <v>Not Applicable to 2024 Base Period</v>
      </c>
      <c r="K45" s="247">
        <f t="shared" si="1"/>
        <v>34</v>
      </c>
    </row>
    <row r="46" spans="1:11">
      <c r="B46" s="466"/>
      <c r="C46" s="323"/>
      <c r="D46" s="164"/>
      <c r="E46" s="323"/>
      <c r="F46" s="323"/>
      <c r="G46" s="323"/>
      <c r="H46" s="164"/>
      <c r="I46" s="323"/>
      <c r="J46" s="840"/>
    </row>
    <row r="47" spans="1:11">
      <c r="I47" s="907"/>
    </row>
    <row r="48" spans="1:11" ht="18.75">
      <c r="A48" s="577"/>
      <c r="B48" s="64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6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K58"/>
  <sheetViews>
    <sheetView zoomScale="80" zoomScaleNormal="80" workbookViewId="0">
      <selection activeCell="G35" sqref="G35"/>
    </sheetView>
  </sheetViews>
  <sheetFormatPr defaultColWidth="8.5703125" defaultRowHeight="15.75"/>
  <cols>
    <col min="1" max="1" width="5.140625" style="247" bestFit="1" customWidth="1"/>
    <col min="2" max="2" width="45.5703125" style="3" customWidth="1"/>
    <col min="3" max="5" width="18.5703125" style="3" customWidth="1"/>
    <col min="6" max="6" width="25.140625" style="4" customWidth="1"/>
    <col min="7" max="7" width="5.140625" style="247" bestFit="1" customWidth="1"/>
    <col min="8" max="8" width="8.5703125" style="3"/>
    <col min="9" max="9" width="17.5703125" style="3" bestFit="1" customWidth="1"/>
    <col min="10" max="16384" width="8.5703125" style="3"/>
  </cols>
  <sheetData>
    <row r="2" spans="1:11">
      <c r="A2" s="578"/>
      <c r="B2" s="1294" t="str">
        <f>'Summary of Cost Components'!B3:D3</f>
        <v>CITIZENS' SHARE OF THE SX-PQ UNDERGROUND LINE SEGMENT</v>
      </c>
      <c r="C2" s="1294"/>
      <c r="D2" s="1294"/>
      <c r="E2" s="1294"/>
      <c r="F2" s="1294"/>
      <c r="G2" s="578"/>
      <c r="H2" s="103"/>
      <c r="I2" s="103"/>
      <c r="J2" s="103"/>
      <c r="K2" s="103"/>
    </row>
    <row r="3" spans="1:11">
      <c r="A3" s="578"/>
      <c r="B3" s="1294" t="s">
        <v>357</v>
      </c>
      <c r="C3" s="1294"/>
      <c r="D3" s="1294"/>
      <c r="E3" s="1294"/>
      <c r="F3" s="1294"/>
      <c r="G3" s="578"/>
      <c r="H3" s="103"/>
      <c r="I3" s="103"/>
      <c r="J3" s="103"/>
      <c r="K3" s="103"/>
    </row>
    <row r="4" spans="1:11">
      <c r="A4" s="578"/>
      <c r="B4" s="1294" t="str">
        <f>"Base Period &amp; True-Up Period 12 - Months Ending December 31, "&amp;Automation!B3</f>
        <v>Base Period &amp; True-Up Period 12 - Months Ending December 31, 2024</v>
      </c>
      <c r="C4" s="1294"/>
      <c r="D4" s="1294"/>
      <c r="E4" s="1294"/>
      <c r="F4" s="1294"/>
      <c r="G4" s="578"/>
      <c r="H4" s="103"/>
      <c r="I4" s="103"/>
      <c r="J4" s="103"/>
      <c r="K4" s="103"/>
    </row>
    <row r="5" spans="1:11">
      <c r="A5" s="578"/>
      <c r="B5" s="1295" t="s">
        <v>3</v>
      </c>
      <c r="C5" s="1295"/>
      <c r="D5" s="1295"/>
      <c r="E5" s="1295"/>
      <c r="F5" s="1295"/>
      <c r="G5" s="109"/>
      <c r="H5" s="63"/>
      <c r="I5" s="63"/>
      <c r="J5" s="63"/>
      <c r="K5" s="63"/>
    </row>
    <row r="7" spans="1:11">
      <c r="A7" s="730"/>
      <c r="B7" s="970"/>
      <c r="C7" s="1188" t="str">
        <f>"12/31/"&amp;Automation!B3-1</f>
        <v>12/31/2023</v>
      </c>
      <c r="D7" s="1188" t="str">
        <f>"12/31/"&amp;Automation!B3</f>
        <v>12/31/2024</v>
      </c>
      <c r="E7" s="804"/>
      <c r="F7" s="971"/>
      <c r="G7" s="731"/>
      <c r="H7" s="103"/>
      <c r="I7" s="103"/>
      <c r="J7" s="103"/>
      <c r="K7" s="103"/>
    </row>
    <row r="8" spans="1:11">
      <c r="A8" s="730" t="s">
        <v>4</v>
      </c>
      <c r="B8" s="732"/>
      <c r="C8" s="972"/>
      <c r="D8" s="971"/>
      <c r="E8" s="733"/>
      <c r="F8" s="734"/>
      <c r="G8" s="731" t="s">
        <v>4</v>
      </c>
      <c r="H8" s="103"/>
      <c r="I8" s="103"/>
      <c r="J8" s="103"/>
      <c r="K8" s="103"/>
    </row>
    <row r="9" spans="1:11">
      <c r="A9" s="730" t="s">
        <v>5</v>
      </c>
      <c r="B9" s="1144" t="s">
        <v>261</v>
      </c>
      <c r="C9" s="1145" t="s">
        <v>358</v>
      </c>
      <c r="D9" s="1145" t="s">
        <v>358</v>
      </c>
      <c r="E9" s="1146" t="s">
        <v>359</v>
      </c>
      <c r="F9" s="1145" t="s">
        <v>8</v>
      </c>
      <c r="G9" s="731" t="s">
        <v>5</v>
      </c>
      <c r="H9" s="103"/>
      <c r="I9" s="103"/>
      <c r="J9" s="103"/>
      <c r="K9" s="103"/>
    </row>
    <row r="10" spans="1:11">
      <c r="A10" s="730"/>
      <c r="B10" s="103"/>
      <c r="C10" s="637"/>
      <c r="D10" s="634"/>
      <c r="E10" s="635"/>
      <c r="F10" s="422"/>
      <c r="G10" s="731"/>
      <c r="H10" s="103"/>
      <c r="I10" s="103"/>
      <c r="J10" s="103"/>
      <c r="K10" s="103"/>
    </row>
    <row r="11" spans="1:11">
      <c r="A11" s="730">
        <f t="shared" ref="A11:A16" si="0">A10+1</f>
        <v>1</v>
      </c>
      <c r="B11" s="735" t="s">
        <v>360</v>
      </c>
      <c r="C11" s="868">
        <v>-3280.7507217513194</v>
      </c>
      <c r="D11" s="868">
        <v>-3316.1334916713195</v>
      </c>
      <c r="E11" s="638">
        <f>AVERAGE(C11,D11)</f>
        <v>-3298.4421067113194</v>
      </c>
      <c r="F11" s="423" t="s">
        <v>361</v>
      </c>
      <c r="G11" s="731">
        <f t="shared" ref="G11:G16" si="1">G10+1</f>
        <v>1</v>
      </c>
      <c r="I11" s="736"/>
    </row>
    <row r="12" spans="1:11">
      <c r="A12" s="730">
        <f t="shared" si="0"/>
        <v>2</v>
      </c>
      <c r="B12" s="103"/>
      <c r="C12" s="869"/>
      <c r="D12" s="869"/>
      <c r="E12" s="638"/>
      <c r="F12" s="423"/>
      <c r="G12" s="731">
        <f t="shared" si="1"/>
        <v>2</v>
      </c>
    </row>
    <row r="13" spans="1:11">
      <c r="A13" s="730">
        <f t="shared" si="0"/>
        <v>3</v>
      </c>
      <c r="B13" s="735" t="s">
        <v>362</v>
      </c>
      <c r="C13" s="1147">
        <v>-2008.6068417513202</v>
      </c>
      <c r="D13" s="1147">
        <v>-2177.9150116713204</v>
      </c>
      <c r="E13" s="989">
        <f>AVERAGE(C13,D13)</f>
        <v>-2093.2609267113203</v>
      </c>
      <c r="F13" s="423" t="s">
        <v>215</v>
      </c>
      <c r="G13" s="731">
        <f t="shared" si="1"/>
        <v>3</v>
      </c>
    </row>
    <row r="14" spans="1:11">
      <c r="A14" s="730">
        <f t="shared" si="0"/>
        <v>4</v>
      </c>
      <c r="B14" s="103"/>
      <c r="C14" s="637"/>
      <c r="D14" s="634"/>
      <c r="E14" s="635"/>
      <c r="F14" s="422"/>
      <c r="G14" s="731">
        <f t="shared" si="1"/>
        <v>4</v>
      </c>
    </row>
    <row r="15" spans="1:11" ht="19.5" thickBot="1">
      <c r="A15" s="730">
        <f t="shared" si="0"/>
        <v>5</v>
      </c>
      <c r="B15" s="735" t="s">
        <v>363</v>
      </c>
      <c r="C15" s="636">
        <f>SUM(C11-C13)</f>
        <v>-1272.1438799999992</v>
      </c>
      <c r="D15" s="636">
        <f t="shared" ref="D15:E15" si="2">SUM(D11-D13)</f>
        <v>-1138.2184799999991</v>
      </c>
      <c r="E15" s="636">
        <f t="shared" si="2"/>
        <v>-1205.1811799999991</v>
      </c>
      <c r="F15" s="421" t="str">
        <f>"Line "&amp;A11&amp;" Minus Line "&amp;A13</f>
        <v>Line 1 Minus Line 3</v>
      </c>
      <c r="G15" s="731">
        <f t="shared" si="1"/>
        <v>5</v>
      </c>
    </row>
    <row r="16" spans="1:11" ht="16.5" thickTop="1">
      <c r="A16" s="730">
        <f t="shared" si="0"/>
        <v>6</v>
      </c>
      <c r="B16" s="1148"/>
      <c r="C16" s="1149"/>
      <c r="D16" s="1149"/>
      <c r="E16" s="1148"/>
      <c r="F16" s="1150"/>
      <c r="G16" s="731">
        <f t="shared" si="1"/>
        <v>6</v>
      </c>
    </row>
    <row r="17" spans="1:9">
      <c r="A17" s="737"/>
      <c r="B17" s="103"/>
      <c r="C17" s="103"/>
      <c r="D17" s="103"/>
      <c r="E17" s="103"/>
      <c r="F17" s="102"/>
      <c r="G17" s="737"/>
    </row>
    <row r="18" spans="1:9">
      <c r="A18" s="737"/>
      <c r="B18" s="103"/>
      <c r="C18" s="103"/>
      <c r="D18" s="103"/>
      <c r="E18" s="103"/>
      <c r="F18" s="102"/>
      <c r="G18" s="737"/>
    </row>
    <row r="19" spans="1:9" ht="18.75">
      <c r="A19" s="738">
        <v>1</v>
      </c>
      <c r="B19" s="735" t="s">
        <v>364</v>
      </c>
      <c r="C19" s="103"/>
      <c r="D19" s="103"/>
      <c r="E19" s="103"/>
      <c r="F19" s="102"/>
      <c r="G19" s="737"/>
    </row>
    <row r="20" spans="1:9" ht="18.75">
      <c r="A20" s="579"/>
      <c r="B20" s="908"/>
      <c r="C20" s="103"/>
      <c r="D20" s="103"/>
      <c r="E20" s="103"/>
      <c r="F20" s="102"/>
      <c r="G20" s="578"/>
    </row>
    <row r="21" spans="1:9">
      <c r="A21" s="578"/>
      <c r="B21" s="908"/>
      <c r="C21" s="103"/>
      <c r="D21" s="103"/>
      <c r="E21" s="103"/>
      <c r="F21" s="102"/>
      <c r="G21" s="578"/>
    </row>
    <row r="22" spans="1:9">
      <c r="A22" s="578"/>
      <c r="B22" s="735"/>
      <c r="C22" s="103"/>
      <c r="D22" s="103"/>
      <c r="E22" s="103"/>
      <c r="F22" s="102"/>
      <c r="G22" s="578"/>
    </row>
    <row r="23" spans="1:9">
      <c r="A23" s="578"/>
      <c r="B23" s="735"/>
      <c r="C23" s="103"/>
      <c r="D23" s="103"/>
      <c r="E23" s="103"/>
      <c r="F23" s="102"/>
      <c r="G23" s="578"/>
    </row>
    <row r="26" spans="1:9">
      <c r="C26" s="736"/>
    </row>
    <row r="27" spans="1:9">
      <c r="I27" s="103"/>
    </row>
    <row r="28" spans="1:9">
      <c r="I28" s="103"/>
    </row>
    <row r="29" spans="1:9">
      <c r="I29" s="103"/>
    </row>
    <row r="30" spans="1:9">
      <c r="I30" s="103"/>
    </row>
    <row r="31" spans="1:9">
      <c r="I31" s="103"/>
    </row>
    <row r="32" spans="1:9">
      <c r="I32" s="103"/>
    </row>
    <row r="33" spans="9:9">
      <c r="I33" s="103"/>
    </row>
    <row r="34" spans="9:9">
      <c r="I34" s="103"/>
    </row>
    <row r="35" spans="9:9">
      <c r="I35" s="103"/>
    </row>
    <row r="36" spans="9:9">
      <c r="I36" s="103"/>
    </row>
    <row r="37" spans="9:9">
      <c r="I37" s="103"/>
    </row>
    <row r="38" spans="9:9">
      <c r="I38" s="103"/>
    </row>
    <row r="39" spans="9:9">
      <c r="I39" s="103"/>
    </row>
    <row r="40" spans="9:9">
      <c r="I40" s="103"/>
    </row>
    <row r="41" spans="9:9">
      <c r="I41" s="103"/>
    </row>
    <row r="42" spans="9:9">
      <c r="I42" s="739"/>
    </row>
    <row r="43" spans="9:9">
      <c r="I43" s="739"/>
    </row>
    <row r="44" spans="9:9">
      <c r="I44" s="739"/>
    </row>
    <row r="45" spans="9:9">
      <c r="I45" s="739"/>
    </row>
    <row r="46" spans="9:9">
      <c r="I46" s="739"/>
    </row>
    <row r="47" spans="9:9">
      <c r="I47" s="739"/>
    </row>
    <row r="48" spans="9:9">
      <c r="I48" s="103"/>
    </row>
    <row r="49" spans="9:9">
      <c r="I49" s="103"/>
    </row>
    <row r="50" spans="9:9">
      <c r="I50" s="103"/>
    </row>
    <row r="51" spans="9:9">
      <c r="I51" s="103"/>
    </row>
    <row r="52" spans="9:9">
      <c r="I52" s="103"/>
    </row>
    <row r="53" spans="9:9">
      <c r="I53" s="103"/>
    </row>
    <row r="54" spans="9:9">
      <c r="I54" s="103"/>
    </row>
    <row r="55" spans="9:9">
      <c r="I55" s="103"/>
    </row>
    <row r="56" spans="9:9">
      <c r="I56" s="103"/>
    </row>
    <row r="57" spans="9:9">
      <c r="I57" s="103"/>
    </row>
    <row r="58" spans="9:9">
      <c r="I58" s="103"/>
    </row>
  </sheetData>
  <mergeCells count="4">
    <mergeCell ref="B2:F2"/>
    <mergeCell ref="B3:F3"/>
    <mergeCell ref="B4:F4"/>
    <mergeCell ref="B5:F5"/>
  </mergeCells>
  <printOptions horizontalCentered="1"/>
  <pageMargins left="0.5" right="0.5" top="0.5" bottom="0.5" header="0.25" footer="0.25"/>
  <pageSetup scale="93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16"/>
  <sheetViews>
    <sheetView zoomScale="80" zoomScaleNormal="80" zoomScalePageLayoutView="80" workbookViewId="0">
      <selection activeCell="B18" sqref="B18"/>
    </sheetView>
  </sheetViews>
  <sheetFormatPr defaultColWidth="9.140625" defaultRowHeight="15.75"/>
  <cols>
    <col min="1" max="1" width="5.140625" style="247" customWidth="1"/>
    <col min="2" max="2" width="56" style="216" customWidth="1"/>
    <col min="3" max="3" width="24" style="216" customWidth="1"/>
    <col min="4" max="4" width="1.5703125" style="216" customWidth="1"/>
    <col min="5" max="5" width="16.5703125" style="216" customWidth="1"/>
    <col min="6" max="6" width="1.5703125" style="216" customWidth="1"/>
    <col min="7" max="7" width="34.5703125" style="216" customWidth="1"/>
    <col min="8" max="8" width="5.140625" style="216" customWidth="1"/>
    <col min="9" max="9" width="9.140625" style="216"/>
    <col min="10" max="10" width="20.42578125" style="216" bestFit="1" customWidth="1"/>
    <col min="11" max="16384" width="9.140625" style="216"/>
  </cols>
  <sheetData>
    <row r="1" spans="1:9">
      <c r="E1" s="247"/>
      <c r="F1" s="247"/>
      <c r="G1" s="247"/>
      <c r="H1" s="247"/>
    </row>
    <row r="2" spans="1:9">
      <c r="B2" s="1281" t="s">
        <v>0</v>
      </c>
      <c r="C2" s="1281"/>
      <c r="D2" s="1281"/>
      <c r="E2" s="1281"/>
      <c r="F2" s="1281"/>
      <c r="G2" s="1281"/>
      <c r="H2" s="247"/>
    </row>
    <row r="3" spans="1:9">
      <c r="B3" s="1281" t="s">
        <v>365</v>
      </c>
      <c r="C3" s="1281"/>
      <c r="D3" s="1281"/>
      <c r="E3" s="1281"/>
      <c r="F3" s="1281"/>
      <c r="G3" s="1281"/>
      <c r="H3" s="247"/>
    </row>
    <row r="4" spans="1:9">
      <c r="B4" s="1281" t="s">
        <v>366</v>
      </c>
      <c r="C4" s="1281"/>
      <c r="D4" s="1281"/>
      <c r="E4" s="1281"/>
      <c r="F4" s="1281"/>
      <c r="G4" s="1281"/>
      <c r="H4" s="247"/>
    </row>
    <row r="5" spans="1:9">
      <c r="B5" s="1283" t="str">
        <f>'A. Sec.1 - Direct Maintenance'!B5</f>
        <v>Base Period &amp; True-Up Period 12 - Months Ending December 31, 2024</v>
      </c>
      <c r="C5" s="1283"/>
      <c r="D5" s="1283"/>
      <c r="E5" s="1283"/>
      <c r="F5" s="1283"/>
      <c r="G5" s="1283"/>
      <c r="H5" s="247"/>
    </row>
    <row r="6" spans="1:9">
      <c r="B6" s="1279" t="s">
        <v>3</v>
      </c>
      <c r="C6" s="1293"/>
      <c r="D6" s="1293"/>
      <c r="E6" s="1293"/>
      <c r="F6" s="1293"/>
      <c r="G6" s="1293"/>
      <c r="H6" s="247"/>
    </row>
    <row r="7" spans="1:9">
      <c r="B7" s="247"/>
      <c r="C7" s="247"/>
      <c r="D7" s="247"/>
      <c r="E7" s="247"/>
      <c r="F7" s="247"/>
      <c r="G7" s="247"/>
      <c r="H7" s="247"/>
    </row>
    <row r="8" spans="1:9">
      <c r="A8" s="247" t="s">
        <v>4</v>
      </c>
      <c r="B8" s="551"/>
      <c r="C8" s="247" t="s">
        <v>188</v>
      </c>
      <c r="D8" s="551"/>
      <c r="E8" s="412"/>
      <c r="F8" s="247"/>
      <c r="G8" s="247"/>
      <c r="H8" s="247" t="s">
        <v>4</v>
      </c>
    </row>
    <row r="9" spans="1:9">
      <c r="A9" s="247" t="s">
        <v>5</v>
      </c>
      <c r="C9" s="994" t="s">
        <v>190</v>
      </c>
      <c r="E9" s="995" t="s">
        <v>191</v>
      </c>
      <c r="F9" s="551"/>
      <c r="G9" s="994" t="s">
        <v>8</v>
      </c>
      <c r="H9" s="247" t="s">
        <v>5</v>
      </c>
    </row>
    <row r="10" spans="1:9">
      <c r="E10" s="247"/>
      <c r="F10" s="247"/>
      <c r="G10" s="247"/>
      <c r="H10" s="247"/>
    </row>
    <row r="11" spans="1:9" s="413" customFormat="1" ht="19.5" thickBot="1">
      <c r="A11" s="247">
        <v>1</v>
      </c>
      <c r="B11" s="17" t="s">
        <v>367</v>
      </c>
      <c r="C11" s="247">
        <v>214</v>
      </c>
      <c r="D11" s="216"/>
      <c r="E11" s="533">
        <f>'AG-1'!C31</f>
        <v>0</v>
      </c>
      <c r="F11" s="247"/>
      <c r="G11" s="247" t="str">
        <f>"AG-1; Line "&amp;'AG-1'!A31</f>
        <v>AG-1; Line 18</v>
      </c>
      <c r="H11" s="247">
        <f>A11</f>
        <v>1</v>
      </c>
      <c r="I11" s="216"/>
    </row>
    <row r="12" spans="1:9" s="413" customFormat="1" ht="16.5" thickTop="1">
      <c r="A12" s="247"/>
      <c r="B12" s="216"/>
      <c r="C12" s="247"/>
      <c r="D12" s="216"/>
      <c r="E12" s="370"/>
      <c r="F12" s="247"/>
      <c r="G12" s="247"/>
      <c r="H12" s="247"/>
      <c r="I12" s="216"/>
    </row>
    <row r="14" spans="1:9" ht="18.75">
      <c r="A14" s="372">
        <v>1</v>
      </c>
      <c r="B14" s="136" t="s">
        <v>929</v>
      </c>
    </row>
    <row r="15" spans="1:9" ht="18.75">
      <c r="A15" s="419"/>
      <c r="B15" s="216" t="s">
        <v>1037</v>
      </c>
    </row>
    <row r="16" spans="1:9">
      <c r="A16" s="216"/>
      <c r="B16" s="136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Roman,Regular"&amp;10AG</oddFooter>
  </headerFooter>
  <customProperties>
    <customPr name="_pios_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M32"/>
  <sheetViews>
    <sheetView zoomScale="80" zoomScaleNormal="80" workbookViewId="0"/>
  </sheetViews>
  <sheetFormatPr defaultColWidth="8.5703125" defaultRowHeight="15.75"/>
  <cols>
    <col min="1" max="1" width="5.140625" style="119" customWidth="1"/>
    <col min="2" max="2" width="35.140625" style="136" customWidth="1"/>
    <col min="3" max="3" width="18.5703125" style="136" customWidth="1"/>
    <col min="4" max="4" width="62.5703125" style="136" customWidth="1"/>
    <col min="5" max="5" width="5.140625" style="119" customWidth="1"/>
    <col min="6" max="9" width="8.5703125" style="136"/>
    <col min="10" max="10" width="12.5703125" style="136" bestFit="1" customWidth="1"/>
    <col min="11" max="11" width="8.5703125" style="136"/>
    <col min="12" max="12" width="14" style="136" bestFit="1" customWidth="1"/>
    <col min="13" max="16384" width="8.5703125" style="136"/>
  </cols>
  <sheetData>
    <row r="2" spans="1:13" s="110" customFormat="1">
      <c r="A2" s="109"/>
      <c r="B2" s="1287" t="s">
        <v>0</v>
      </c>
      <c r="C2" s="1287"/>
      <c r="D2" s="1287"/>
      <c r="E2" s="109"/>
    </row>
    <row r="3" spans="1:13" s="110" customFormat="1">
      <c r="A3" s="109"/>
      <c r="B3" s="1287" t="s">
        <v>368</v>
      </c>
      <c r="C3" s="1287"/>
      <c r="D3" s="1287"/>
      <c r="E3" s="109"/>
    </row>
    <row r="4" spans="1:13" s="110" customFormat="1">
      <c r="A4" s="109"/>
      <c r="B4" s="1287" t="s">
        <v>369</v>
      </c>
      <c r="C4" s="1287"/>
      <c r="D4" s="1287"/>
      <c r="E4" s="109"/>
    </row>
    <row r="5" spans="1:13" s="110" customFormat="1">
      <c r="A5" s="109"/>
      <c r="B5" s="1287" t="s">
        <v>370</v>
      </c>
      <c r="C5" s="1287"/>
      <c r="D5" s="1287"/>
      <c r="E5" s="109"/>
    </row>
    <row r="6" spans="1:13" s="110" customFormat="1">
      <c r="A6" s="109"/>
      <c r="B6" s="1287" t="str">
        <f>"BASE PERIOD / TRUE UP PERIOD - 12/31/"&amp;Automation!$B$3</f>
        <v>BASE PERIOD / TRUE UP PERIOD - 12/31/2024</v>
      </c>
      <c r="C6" s="1287"/>
      <c r="D6" s="1287"/>
      <c r="E6" s="109"/>
    </row>
    <row r="7" spans="1:13" s="110" customFormat="1">
      <c r="A7" s="109"/>
      <c r="B7" s="1291" t="s">
        <v>3</v>
      </c>
      <c r="C7" s="1291"/>
      <c r="D7" s="1291"/>
      <c r="E7" s="109"/>
    </row>
    <row r="8" spans="1:13" s="110" customFormat="1">
      <c r="A8" s="109"/>
      <c r="B8" s="111"/>
      <c r="C8" s="111"/>
      <c r="D8" s="111"/>
      <c r="E8" s="109"/>
    </row>
    <row r="9" spans="1:13" s="110" customFormat="1">
      <c r="A9" s="109"/>
      <c r="B9" s="1287" t="s">
        <v>239</v>
      </c>
      <c r="C9" s="1287"/>
      <c r="D9" s="1287"/>
      <c r="E9" s="109"/>
    </row>
    <row r="10" spans="1:13">
      <c r="B10" s="220"/>
      <c r="C10" s="221"/>
      <c r="D10" s="221"/>
    </row>
    <row r="11" spans="1:13">
      <c r="B11" s="857"/>
      <c r="C11" s="955" t="s">
        <v>240</v>
      </c>
      <c r="D11" s="859"/>
    </row>
    <row r="12" spans="1:13">
      <c r="A12" s="119" t="s">
        <v>4</v>
      </c>
      <c r="B12" s="130"/>
      <c r="C12" s="116" t="s">
        <v>371</v>
      </c>
      <c r="D12" s="166"/>
      <c r="E12" s="119" t="s">
        <v>4</v>
      </c>
      <c r="H12" s="111"/>
      <c r="I12" s="111"/>
      <c r="J12" s="111"/>
      <c r="K12" s="111"/>
      <c r="L12" s="111"/>
      <c r="M12" s="111"/>
    </row>
    <row r="13" spans="1:13">
      <c r="A13" s="119" t="s">
        <v>5</v>
      </c>
      <c r="B13" s="1012" t="s">
        <v>123</v>
      </c>
      <c r="C13" s="1151" t="s">
        <v>372</v>
      </c>
      <c r="D13" s="1012" t="s">
        <v>8</v>
      </c>
      <c r="E13" s="119" t="s">
        <v>5</v>
      </c>
      <c r="H13" s="111"/>
      <c r="I13" s="110"/>
      <c r="J13" s="110"/>
      <c r="K13" s="109"/>
      <c r="L13" s="110"/>
      <c r="M13" s="111"/>
    </row>
    <row r="14" spans="1:13">
      <c r="A14" s="119">
        <v>1</v>
      </c>
      <c r="B14" s="122" t="str">
        <f>"Dec-"&amp;RIGHT(Automation!$B$3-1,2)</f>
        <v>Dec-23</v>
      </c>
      <c r="C14" s="222">
        <v>0</v>
      </c>
      <c r="D14" s="526" t="s">
        <v>215</v>
      </c>
      <c r="E14" s="119">
        <f>A14</f>
        <v>1</v>
      </c>
      <c r="G14" s="223"/>
      <c r="H14" s="111"/>
      <c r="I14" s="109"/>
      <c r="J14" s="109"/>
      <c r="K14" s="109"/>
      <c r="L14" s="111"/>
      <c r="M14" s="111"/>
    </row>
    <row r="15" spans="1:13">
      <c r="A15" s="119">
        <f>A14+1</f>
        <v>2</v>
      </c>
      <c r="B15" s="122" t="str">
        <f>"Jan-"&amp;RIGHT(Automation!$B$3,2)</f>
        <v>Jan-24</v>
      </c>
      <c r="C15" s="179">
        <v>0</v>
      </c>
      <c r="D15" s="179"/>
      <c r="E15" s="119">
        <f>E14+1</f>
        <v>2</v>
      </c>
      <c r="G15" s="223"/>
      <c r="H15" s="111"/>
      <c r="I15" s="109"/>
      <c r="J15" s="109"/>
      <c r="K15" s="109"/>
      <c r="L15" s="111"/>
      <c r="M15" s="111"/>
    </row>
    <row r="16" spans="1:13">
      <c r="A16" s="119">
        <f t="shared" ref="A16:A32" si="0">A15+1</f>
        <v>3</v>
      </c>
      <c r="B16" s="122" t="s">
        <v>216</v>
      </c>
      <c r="C16" s="179">
        <v>0</v>
      </c>
      <c r="D16" s="179"/>
      <c r="E16" s="119">
        <f t="shared" ref="E16:E32" si="1">E15+1</f>
        <v>3</v>
      </c>
      <c r="G16" s="223"/>
      <c r="H16" s="111"/>
      <c r="I16" s="109"/>
      <c r="J16" s="109"/>
      <c r="K16" s="109"/>
      <c r="L16" s="111"/>
      <c r="M16" s="111"/>
    </row>
    <row r="17" spans="1:13">
      <c r="A17" s="119">
        <f t="shared" si="0"/>
        <v>4</v>
      </c>
      <c r="B17" s="122" t="s">
        <v>217</v>
      </c>
      <c r="C17" s="179">
        <v>0</v>
      </c>
      <c r="D17" s="179"/>
      <c r="E17" s="119">
        <f t="shared" si="1"/>
        <v>4</v>
      </c>
      <c r="H17" s="111"/>
      <c r="I17" s="109"/>
      <c r="J17" s="224"/>
      <c r="K17" s="109"/>
      <c r="L17" s="111"/>
      <c r="M17" s="111"/>
    </row>
    <row r="18" spans="1:13">
      <c r="A18" s="119">
        <f t="shared" si="0"/>
        <v>5</v>
      </c>
      <c r="B18" s="122" t="s">
        <v>218</v>
      </c>
      <c r="C18" s="179">
        <v>0</v>
      </c>
      <c r="D18" s="179"/>
      <c r="E18" s="119">
        <f t="shared" si="1"/>
        <v>5</v>
      </c>
      <c r="H18" s="111"/>
      <c r="I18" s="109"/>
      <c r="J18" s="224"/>
      <c r="K18" s="109"/>
      <c r="L18" s="111"/>
      <c r="M18" s="111"/>
    </row>
    <row r="19" spans="1:13">
      <c r="A19" s="119">
        <f t="shared" si="0"/>
        <v>6</v>
      </c>
      <c r="B19" s="122" t="s">
        <v>160</v>
      </c>
      <c r="C19" s="179">
        <v>0</v>
      </c>
      <c r="D19" s="179"/>
      <c r="E19" s="119">
        <f t="shared" si="1"/>
        <v>6</v>
      </c>
      <c r="H19" s="111"/>
      <c r="I19" s="224"/>
      <c r="J19" s="224"/>
      <c r="K19" s="225"/>
      <c r="L19" s="226"/>
      <c r="M19" s="111"/>
    </row>
    <row r="20" spans="1:13">
      <c r="A20" s="119">
        <f>A19+1</f>
        <v>7</v>
      </c>
      <c r="B20" s="122" t="s">
        <v>219</v>
      </c>
      <c r="C20" s="179">
        <v>0</v>
      </c>
      <c r="D20" s="179"/>
      <c r="E20" s="119">
        <f>E19+1</f>
        <v>7</v>
      </c>
      <c r="H20" s="111"/>
      <c r="I20" s="227"/>
      <c r="J20" s="228"/>
      <c r="K20" s="229"/>
      <c r="L20" s="230"/>
      <c r="M20" s="111"/>
    </row>
    <row r="21" spans="1:13">
      <c r="A21" s="119">
        <f t="shared" si="0"/>
        <v>8</v>
      </c>
      <c r="B21" s="122" t="s">
        <v>220</v>
      </c>
      <c r="C21" s="179">
        <v>0</v>
      </c>
      <c r="D21" s="179"/>
      <c r="E21" s="119">
        <f t="shared" si="1"/>
        <v>8</v>
      </c>
      <c r="H21" s="111"/>
      <c r="I21" s="231"/>
      <c r="J21" s="231"/>
      <c r="K21" s="226"/>
      <c r="L21" s="226"/>
      <c r="M21" s="111"/>
    </row>
    <row r="22" spans="1:13">
      <c r="A22" s="119">
        <f t="shared" si="0"/>
        <v>9</v>
      </c>
      <c r="B22" s="122" t="s">
        <v>221</v>
      </c>
      <c r="C22" s="179">
        <v>0</v>
      </c>
      <c r="D22" s="179"/>
      <c r="E22" s="119">
        <f t="shared" si="1"/>
        <v>9</v>
      </c>
      <c r="H22" s="111"/>
      <c r="I22" s="227"/>
      <c r="J22" s="228"/>
      <c r="K22" s="232"/>
      <c r="L22" s="230"/>
      <c r="M22" s="111"/>
    </row>
    <row r="23" spans="1:13">
      <c r="A23" s="119">
        <f t="shared" si="0"/>
        <v>10</v>
      </c>
      <c r="B23" s="122" t="s">
        <v>222</v>
      </c>
      <c r="C23" s="179">
        <v>0</v>
      </c>
      <c r="D23" s="179"/>
      <c r="E23" s="119">
        <f t="shared" si="1"/>
        <v>10</v>
      </c>
      <c r="H23" s="111"/>
      <c r="I23" s="110"/>
      <c r="J23" s="110"/>
      <c r="K23" s="226"/>
      <c r="L23" s="226"/>
      <c r="M23" s="111"/>
    </row>
    <row r="24" spans="1:13">
      <c r="A24" s="119">
        <f t="shared" si="0"/>
        <v>11</v>
      </c>
      <c r="B24" s="122" t="s">
        <v>223</v>
      </c>
      <c r="C24" s="179">
        <v>0</v>
      </c>
      <c r="D24" s="179"/>
      <c r="E24" s="119">
        <f t="shared" si="1"/>
        <v>11</v>
      </c>
      <c r="H24" s="111"/>
      <c r="I24" s="110"/>
      <c r="J24" s="110"/>
      <c r="K24" s="225"/>
      <c r="L24" s="226"/>
      <c r="M24" s="111"/>
    </row>
    <row r="25" spans="1:13">
      <c r="A25" s="119">
        <f t="shared" si="0"/>
        <v>12</v>
      </c>
      <c r="B25" s="122" t="s">
        <v>224</v>
      </c>
      <c r="C25" s="179">
        <v>0</v>
      </c>
      <c r="D25" s="179"/>
      <c r="E25" s="119">
        <f t="shared" si="1"/>
        <v>12</v>
      </c>
      <c r="H25" s="111"/>
      <c r="I25" s="110"/>
      <c r="J25" s="110"/>
      <c r="K25" s="225"/>
      <c r="L25" s="226"/>
      <c r="M25" s="111"/>
    </row>
    <row r="26" spans="1:13">
      <c r="A26" s="119">
        <f t="shared" si="0"/>
        <v>13</v>
      </c>
      <c r="B26" s="1029" t="str">
        <f>"Dec-"&amp;RIGHT(Automation!$B$3,2)</f>
        <v>Dec-24</v>
      </c>
      <c r="C26" s="1115">
        <v>0</v>
      </c>
      <c r="D26" s="1130" t="s">
        <v>215</v>
      </c>
      <c r="E26" s="119">
        <f t="shared" si="1"/>
        <v>13</v>
      </c>
      <c r="H26" s="111"/>
      <c r="I26" s="110"/>
      <c r="J26" s="110"/>
      <c r="K26" s="233"/>
      <c r="L26" s="155"/>
      <c r="M26" s="111"/>
    </row>
    <row r="27" spans="1:13">
      <c r="A27" s="119">
        <f t="shared" si="0"/>
        <v>14</v>
      </c>
      <c r="B27" s="130"/>
      <c r="C27" s="973"/>
      <c r="D27" s="973"/>
      <c r="E27" s="119">
        <f t="shared" si="1"/>
        <v>14</v>
      </c>
    </row>
    <row r="28" spans="1:13">
      <c r="A28" s="119">
        <f t="shared" si="0"/>
        <v>15</v>
      </c>
      <c r="B28" s="130" t="s">
        <v>225</v>
      </c>
      <c r="C28" s="234">
        <f>SUM(C14:C26)</f>
        <v>0</v>
      </c>
      <c r="D28" s="521" t="str">
        <f>"Sum Lines "&amp;A14&amp;" thru "&amp;A26</f>
        <v>Sum Lines 1 thru 13</v>
      </c>
      <c r="E28" s="119">
        <f t="shared" si="1"/>
        <v>15</v>
      </c>
    </row>
    <row r="29" spans="1:13">
      <c r="A29" s="119">
        <f t="shared" si="0"/>
        <v>16</v>
      </c>
      <c r="B29" s="1013"/>
      <c r="C29" s="1152"/>
      <c r="D29" s="1115"/>
      <c r="E29" s="119">
        <f t="shared" si="1"/>
        <v>16</v>
      </c>
    </row>
    <row r="30" spans="1:13">
      <c r="A30" s="119">
        <f t="shared" si="0"/>
        <v>17</v>
      </c>
      <c r="B30" s="130"/>
      <c r="C30" s="974"/>
      <c r="D30" s="975"/>
      <c r="E30" s="119">
        <f t="shared" si="1"/>
        <v>17</v>
      </c>
    </row>
    <row r="31" spans="1:13">
      <c r="A31" s="119">
        <f t="shared" si="0"/>
        <v>18</v>
      </c>
      <c r="B31" s="130" t="s">
        <v>373</v>
      </c>
      <c r="C31" s="202">
        <f>C28/13</f>
        <v>0</v>
      </c>
      <c r="D31" s="1231"/>
      <c r="E31" s="119">
        <f t="shared" si="1"/>
        <v>18</v>
      </c>
    </row>
    <row r="32" spans="1:13">
      <c r="A32" s="119">
        <f t="shared" si="0"/>
        <v>19</v>
      </c>
      <c r="B32" s="1013"/>
      <c r="C32" s="1038"/>
      <c r="D32" s="1038"/>
      <c r="E32" s="119">
        <f t="shared" si="1"/>
        <v>19</v>
      </c>
    </row>
  </sheetData>
  <mergeCells count="7">
    <mergeCell ref="B7:D7"/>
    <mergeCell ref="B9:D9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EACE-4BE8-4058-B897-A1BA1BD93627}">
  <sheetPr>
    <pageSetUpPr fitToPage="1"/>
  </sheetPr>
  <dimension ref="A2:H25"/>
  <sheetViews>
    <sheetView zoomScale="80" zoomScaleNormal="80" zoomScaleSheetLayoutView="70" workbookViewId="0">
      <selection activeCell="E35" sqref="E35"/>
    </sheetView>
  </sheetViews>
  <sheetFormatPr defaultColWidth="9.140625" defaultRowHeight="15.75"/>
  <cols>
    <col min="1" max="1" width="5.140625" style="109" customWidth="1"/>
    <col min="2" max="2" width="35.140625" style="110" customWidth="1"/>
    <col min="3" max="4" width="18.5703125" style="114" customWidth="1"/>
    <col min="5" max="5" width="18.5703125" style="110" customWidth="1"/>
    <col min="6" max="6" width="55" style="110" customWidth="1"/>
    <col min="7" max="7" width="5.140625" style="109" customWidth="1"/>
    <col min="8" max="8" width="24" style="110" customWidth="1"/>
    <col min="9" max="9" width="11" style="110" customWidth="1"/>
    <col min="10" max="10" width="7.140625" style="110" customWidth="1"/>
    <col min="11" max="11" width="9.140625" style="110" customWidth="1"/>
    <col min="12" max="12" width="14" style="110" customWidth="1"/>
    <col min="13" max="13" width="13.42578125" style="110" customWidth="1"/>
    <col min="14" max="16384" width="9.140625" style="110"/>
  </cols>
  <sheetData>
    <row r="2" spans="1:8">
      <c r="B2" s="1287" t="s">
        <v>0</v>
      </c>
      <c r="C2" s="1287"/>
      <c r="D2" s="1287"/>
      <c r="E2" s="1287"/>
      <c r="F2" s="1287"/>
    </row>
    <row r="3" spans="1:8">
      <c r="B3" s="1287" t="s">
        <v>368</v>
      </c>
      <c r="C3" s="1287"/>
      <c r="D3" s="1287"/>
      <c r="E3" s="1287"/>
      <c r="F3" s="1287"/>
    </row>
    <row r="4" spans="1:8">
      <c r="B4" s="1287" t="s">
        <v>369</v>
      </c>
      <c r="C4" s="1287"/>
      <c r="D4" s="1287"/>
      <c r="E4" s="1287"/>
      <c r="F4" s="1287"/>
    </row>
    <row r="5" spans="1:8">
      <c r="B5" s="1287" t="str">
        <f>"BASE PERIOD / TRUE UP PERIOD - 12/31/"&amp;Automation!$B$3</f>
        <v>BASE PERIOD / TRUE UP PERIOD - 12/31/2024</v>
      </c>
      <c r="C5" s="1287"/>
      <c r="D5" s="1287"/>
      <c r="E5" s="1287"/>
      <c r="F5" s="1287"/>
    </row>
    <row r="6" spans="1:8">
      <c r="B6" s="1291" t="s">
        <v>3</v>
      </c>
      <c r="C6" s="1291"/>
      <c r="D6" s="1291"/>
      <c r="E6" s="1291"/>
      <c r="F6" s="1291"/>
    </row>
    <row r="8" spans="1:8">
      <c r="B8" s="857"/>
      <c r="C8" s="805" t="s">
        <v>77</v>
      </c>
      <c r="D8" s="525" t="s">
        <v>78</v>
      </c>
      <c r="E8" s="525" t="s">
        <v>374</v>
      </c>
      <c r="F8" s="859"/>
    </row>
    <row r="9" spans="1:8">
      <c r="A9" s="119"/>
      <c r="B9" s="116"/>
      <c r="C9" s="121" t="s">
        <v>375</v>
      </c>
      <c r="D9" s="121" t="s">
        <v>376</v>
      </c>
      <c r="E9" s="121" t="s">
        <v>377</v>
      </c>
      <c r="F9" s="158"/>
      <c r="G9" s="119"/>
    </row>
    <row r="10" spans="1:8">
      <c r="A10" s="119" t="s">
        <v>4</v>
      </c>
      <c r="B10" s="116" t="s">
        <v>378</v>
      </c>
      <c r="C10" s="121" t="s">
        <v>7</v>
      </c>
      <c r="D10" s="121" t="s">
        <v>7</v>
      </c>
      <c r="E10" s="121" t="s">
        <v>7</v>
      </c>
      <c r="F10" s="116"/>
      <c r="G10" s="119" t="s">
        <v>4</v>
      </c>
    </row>
    <row r="11" spans="1:8">
      <c r="A11" s="119" t="s">
        <v>5</v>
      </c>
      <c r="B11" s="1012" t="s">
        <v>261</v>
      </c>
      <c r="C11" s="1110" t="s">
        <v>379</v>
      </c>
      <c r="D11" s="1012" t="s">
        <v>379</v>
      </c>
      <c r="E11" s="1110" t="s">
        <v>379</v>
      </c>
      <c r="F11" s="1012" t="s">
        <v>8</v>
      </c>
      <c r="G11" s="119" t="s">
        <v>5</v>
      </c>
    </row>
    <row r="12" spans="1:8">
      <c r="A12" s="119">
        <v>1</v>
      </c>
      <c r="B12" s="976"/>
      <c r="C12" s="977">
        <v>0</v>
      </c>
      <c r="D12" s="977">
        <f>E12-C12</f>
        <v>0</v>
      </c>
      <c r="E12" s="978">
        <v>0</v>
      </c>
      <c r="F12" s="979"/>
      <c r="G12" s="119">
        <f>A12</f>
        <v>1</v>
      </c>
    </row>
    <row r="13" spans="1:8">
      <c r="A13" s="119">
        <f>A12+1</f>
        <v>2</v>
      </c>
      <c r="B13" s="122"/>
      <c r="C13" s="178">
        <v>0</v>
      </c>
      <c r="D13" s="178">
        <v>0</v>
      </c>
      <c r="E13" s="179">
        <v>0</v>
      </c>
      <c r="F13" s="529"/>
      <c r="G13" s="119">
        <f>G12+1</f>
        <v>2</v>
      </c>
      <c r="H13" s="140"/>
    </row>
    <row r="14" spans="1:8">
      <c r="A14" s="119">
        <f t="shared" ref="A14:A17" si="0">A13+1</f>
        <v>3</v>
      </c>
      <c r="B14" s="1119"/>
      <c r="C14" s="1115">
        <v>0</v>
      </c>
      <c r="D14" s="1115">
        <v>0</v>
      </c>
      <c r="E14" s="1115">
        <v>0</v>
      </c>
      <c r="F14" s="1119"/>
      <c r="G14" s="119">
        <f t="shared" ref="G14:G17" si="1">G13+1</f>
        <v>3</v>
      </c>
    </row>
    <row r="15" spans="1:8">
      <c r="A15" s="119">
        <f t="shared" si="0"/>
        <v>4</v>
      </c>
      <c r="B15" s="130"/>
      <c r="C15" s="143"/>
      <c r="D15" s="143"/>
      <c r="E15" s="143"/>
      <c r="F15" s="148"/>
      <c r="G15" s="119">
        <f t="shared" si="1"/>
        <v>4</v>
      </c>
    </row>
    <row r="16" spans="1:8">
      <c r="A16" s="119">
        <f t="shared" si="0"/>
        <v>5</v>
      </c>
      <c r="B16" s="130" t="s">
        <v>80</v>
      </c>
      <c r="C16" s="132">
        <f>SUM(C12:C14)</f>
        <v>0</v>
      </c>
      <c r="D16" s="132">
        <f>SUM(D12:D14)</f>
        <v>0</v>
      </c>
      <c r="E16" s="132">
        <f>SUM(E12:E14)</f>
        <v>0</v>
      </c>
      <c r="F16" s="526" t="str">
        <f>"Sum Lines "&amp;A12&amp;" thru "&amp;A14</f>
        <v>Sum Lines 1 thru 3</v>
      </c>
      <c r="G16" s="119">
        <f t="shared" si="1"/>
        <v>5</v>
      </c>
    </row>
    <row r="17" spans="1:7">
      <c r="A17" s="119">
        <f t="shared" si="0"/>
        <v>6</v>
      </c>
      <c r="B17" s="1013"/>
      <c r="C17" s="1112"/>
      <c r="D17" s="1112"/>
      <c r="E17" s="1112"/>
      <c r="F17" s="1038"/>
      <c r="G17" s="119">
        <f t="shared" si="1"/>
        <v>6</v>
      </c>
    </row>
    <row r="18" spans="1:7">
      <c r="A18" s="119"/>
      <c r="C18" s="441"/>
      <c r="D18" s="441"/>
      <c r="E18" s="441"/>
      <c r="F18" s="441"/>
      <c r="G18" s="119"/>
    </row>
    <row r="19" spans="1:7">
      <c r="A19" s="119"/>
      <c r="C19" s="441"/>
      <c r="D19" s="441"/>
      <c r="E19" s="441"/>
      <c r="F19" s="441"/>
    </row>
    <row r="20" spans="1:7" ht="18.75">
      <c r="A20" s="135"/>
      <c r="B20" s="806"/>
      <c r="C20" s="441"/>
      <c r="D20" s="441"/>
      <c r="E20" s="441"/>
      <c r="F20" s="441"/>
    </row>
    <row r="21" spans="1:7">
      <c r="C21" s="441"/>
      <c r="D21" s="441"/>
      <c r="E21" s="441"/>
      <c r="F21" s="441"/>
    </row>
    <row r="22" spans="1:7">
      <c r="B22" s="161"/>
      <c r="C22" s="807"/>
      <c r="D22" s="807"/>
      <c r="E22" s="807"/>
      <c r="F22" s="146"/>
      <c r="G22" s="575"/>
    </row>
    <row r="23" spans="1:7">
      <c r="B23" s="136"/>
      <c r="C23" s="146"/>
      <c r="D23" s="110"/>
      <c r="F23" s="146"/>
      <c r="G23" s="575"/>
    </row>
    <row r="24" spans="1:7">
      <c r="C24" s="146"/>
      <c r="D24" s="146"/>
      <c r="E24" s="146"/>
      <c r="F24" s="146"/>
      <c r="G24" s="575"/>
    </row>
    <row r="25" spans="1:7">
      <c r="C25" s="147"/>
      <c r="D25" s="147"/>
      <c r="E25" s="140"/>
      <c r="F25" s="140"/>
      <c r="G25" s="575"/>
    </row>
  </sheetData>
  <mergeCells count="5"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82" orientation="landscape" r:id="rId1"/>
  <headerFooter scaleWithDoc="0">
    <oddFooter>&amp;C&amp;"Times New Roman,Regular"&amp;10&amp;A</oddFooter>
  </headerFooter>
  <colBreaks count="1" manualBreakCount="1">
    <brk id="7" max="1048575" man="1"/>
  </colBreaks>
  <customProperties>
    <customPr name="_pios_id" r:id="rId2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72"/>
  <sheetViews>
    <sheetView zoomScale="80" zoomScaleNormal="80" zoomScalePageLayoutView="80" workbookViewId="0">
      <selection activeCell="J33" sqref="J33"/>
    </sheetView>
  </sheetViews>
  <sheetFormatPr defaultColWidth="8.5703125" defaultRowHeight="15.75"/>
  <cols>
    <col min="1" max="1" width="5.140625" style="247" bestFit="1" customWidth="1"/>
    <col min="2" max="2" width="80.5703125" style="216" customWidth="1"/>
    <col min="3" max="3" width="21.140625" style="216" customWidth="1"/>
    <col min="4" max="4" width="1.5703125" style="216" customWidth="1"/>
    <col min="5" max="5" width="16.5703125" style="216" customWidth="1"/>
    <col min="6" max="6" width="1.5703125" style="216" customWidth="1"/>
    <col min="7" max="7" width="47.5703125" style="216" customWidth="1"/>
    <col min="8" max="8" width="5.140625" style="216" customWidth="1"/>
    <col min="9" max="9" width="8.5703125" style="216"/>
    <col min="10" max="10" width="20.42578125" style="216" bestFit="1" customWidth="1"/>
    <col min="11" max="16384" width="8.5703125" style="216"/>
  </cols>
  <sheetData>
    <row r="1" spans="1:8">
      <c r="G1" s="247"/>
      <c r="H1" s="247"/>
    </row>
    <row r="2" spans="1:8">
      <c r="B2" s="1281" t="s">
        <v>0</v>
      </c>
      <c r="C2" s="1281"/>
      <c r="D2" s="1281"/>
      <c r="E2" s="1281"/>
      <c r="F2" s="1281"/>
      <c r="G2" s="1281"/>
      <c r="H2" s="247"/>
    </row>
    <row r="3" spans="1:8">
      <c r="B3" s="1281" t="s">
        <v>380</v>
      </c>
      <c r="C3" s="1281"/>
      <c r="D3" s="1281"/>
      <c r="E3" s="1281"/>
      <c r="F3" s="1281"/>
      <c r="G3" s="1281"/>
      <c r="H3" s="247"/>
    </row>
    <row r="4" spans="1:8">
      <c r="B4" s="1281" t="s">
        <v>381</v>
      </c>
      <c r="C4" s="1281"/>
      <c r="D4" s="1281"/>
      <c r="E4" s="1281"/>
      <c r="F4" s="1281"/>
      <c r="G4" s="1281"/>
      <c r="H4" s="247"/>
    </row>
    <row r="5" spans="1:8">
      <c r="B5" s="1283" t="str">
        <f>'A. Sec.1 - Direct Maintenance'!B5</f>
        <v>Base Period &amp; True-Up Period 12 - Months Ending December 31, 2024</v>
      </c>
      <c r="C5" s="1283"/>
      <c r="D5" s="1283"/>
      <c r="E5" s="1283"/>
      <c r="F5" s="1283"/>
      <c r="G5" s="1283"/>
      <c r="H5" s="247"/>
    </row>
    <row r="6" spans="1:8">
      <c r="B6" s="1279" t="s">
        <v>3</v>
      </c>
      <c r="C6" s="1293"/>
      <c r="D6" s="1293"/>
      <c r="E6" s="1293"/>
      <c r="F6" s="1293"/>
      <c r="G6" s="1293"/>
      <c r="H6" s="247"/>
    </row>
    <row r="7" spans="1:8">
      <c r="B7" s="247"/>
      <c r="C7" s="247"/>
      <c r="D7" s="247"/>
      <c r="E7" s="459"/>
      <c r="F7" s="459"/>
      <c r="G7" s="247"/>
      <c r="H7" s="247"/>
    </row>
    <row r="8" spans="1:8">
      <c r="A8" s="247" t="s">
        <v>4</v>
      </c>
      <c r="B8" s="551"/>
      <c r="C8" s="247" t="s">
        <v>188</v>
      </c>
      <c r="D8" s="551"/>
      <c r="E8" s="460"/>
      <c r="F8" s="460"/>
      <c r="G8" s="247"/>
      <c r="H8" s="247" t="s">
        <v>4</v>
      </c>
    </row>
    <row r="9" spans="1:8">
      <c r="A9" s="247" t="s">
        <v>5</v>
      </c>
      <c r="C9" s="994" t="s">
        <v>190</v>
      </c>
      <c r="D9" s="551"/>
      <c r="E9" s="995" t="s">
        <v>7</v>
      </c>
      <c r="F9" s="460"/>
      <c r="G9" s="994" t="s">
        <v>8</v>
      </c>
      <c r="H9" s="247" t="s">
        <v>5</v>
      </c>
    </row>
    <row r="10" spans="1:8">
      <c r="C10" s="551"/>
      <c r="D10" s="551"/>
      <c r="E10" s="460"/>
      <c r="F10" s="460"/>
      <c r="G10" s="247"/>
      <c r="H10" s="247"/>
    </row>
    <row r="11" spans="1:8">
      <c r="A11" s="247">
        <v>1</v>
      </c>
      <c r="B11" s="19" t="s">
        <v>382</v>
      </c>
      <c r="C11" s="551"/>
      <c r="D11" s="551"/>
      <c r="E11" s="460"/>
      <c r="F11" s="460"/>
      <c r="G11" s="247"/>
      <c r="H11" s="247">
        <f>A11</f>
        <v>1</v>
      </c>
    </row>
    <row r="12" spans="1:8">
      <c r="A12" s="247">
        <f>+A11+1</f>
        <v>2</v>
      </c>
      <c r="B12" s="16" t="s">
        <v>383</v>
      </c>
      <c r="C12" s="551"/>
      <c r="D12" s="551"/>
      <c r="E12" s="429">
        <f>'AH-1'!D56</f>
        <v>0</v>
      </c>
      <c r="F12" s="460"/>
      <c r="G12" s="247" t="str">
        <f>"AH-1; Line "&amp;'AH-1'!A56</f>
        <v>AH-1; Line 48</v>
      </c>
      <c r="H12" s="247">
        <f>H11+1</f>
        <v>2</v>
      </c>
    </row>
    <row r="13" spans="1:8">
      <c r="A13" s="247">
        <f t="shared" ref="A13:A68" si="0">+A12+1</f>
        <v>3</v>
      </c>
      <c r="C13" s="551"/>
      <c r="D13" s="551"/>
      <c r="E13" s="460"/>
      <c r="F13" s="460"/>
      <c r="G13" s="247"/>
      <c r="H13" s="247">
        <f t="shared" ref="H13:H68" si="1">H12+1</f>
        <v>3</v>
      </c>
    </row>
    <row r="14" spans="1:8">
      <c r="A14" s="247">
        <f t="shared" si="0"/>
        <v>4</v>
      </c>
      <c r="B14" s="19" t="s">
        <v>384</v>
      </c>
      <c r="G14" s="247"/>
      <c r="H14" s="247">
        <f t="shared" si="1"/>
        <v>4</v>
      </c>
    </row>
    <row r="15" spans="1:8">
      <c r="A15" s="247">
        <f t="shared" si="0"/>
        <v>5</v>
      </c>
      <c r="B15" s="3" t="s">
        <v>385</v>
      </c>
      <c r="C15" s="247"/>
      <c r="E15" s="429">
        <f>'AH-2'!D47</f>
        <v>148278.74039999998</v>
      </c>
      <c r="G15" s="247" t="str">
        <f>"AH-2; Line "&amp;'AH-2'!A47&amp;"; Col. a"</f>
        <v>AH-2; Line 37; Col. a</v>
      </c>
      <c r="H15" s="247">
        <f t="shared" si="1"/>
        <v>5</v>
      </c>
    </row>
    <row r="16" spans="1:8">
      <c r="A16" s="247">
        <f t="shared" si="0"/>
        <v>6</v>
      </c>
      <c r="B16" s="6" t="s">
        <v>386</v>
      </c>
      <c r="E16" s="369"/>
      <c r="G16" s="247"/>
      <c r="H16" s="247">
        <f t="shared" si="1"/>
        <v>6</v>
      </c>
    </row>
    <row r="17" spans="1:10">
      <c r="A17" s="247">
        <f t="shared" si="0"/>
        <v>7</v>
      </c>
      <c r="B17" s="3" t="s">
        <v>387</v>
      </c>
      <c r="C17" s="247"/>
      <c r="E17" s="345">
        <f>-'AH-2'!E52</f>
        <v>-2802.2510600000001</v>
      </c>
      <c r="G17" s="247" t="str">
        <f>"Negative of AH-2; Line "&amp;'AH-2'!A52&amp;"; Col. b"</f>
        <v>Negative of AH-2; Line 42; Col. b</v>
      </c>
      <c r="H17" s="247">
        <f t="shared" si="1"/>
        <v>7</v>
      </c>
    </row>
    <row r="18" spans="1:10">
      <c r="A18" s="247">
        <f t="shared" si="0"/>
        <v>8</v>
      </c>
      <c r="B18" s="3" t="s">
        <v>388</v>
      </c>
      <c r="E18" s="345">
        <f>-'AH-2'!E53</f>
        <v>-1516.30691</v>
      </c>
      <c r="G18" s="247" t="str">
        <f>"Negative of AH-2; Line "&amp;'AH-2'!A53&amp;"; Col. b"</f>
        <v>Negative of AH-2; Line 43; Col. b</v>
      </c>
      <c r="H18" s="247">
        <f t="shared" si="1"/>
        <v>8</v>
      </c>
    </row>
    <row r="19" spans="1:10">
      <c r="A19" s="247">
        <f t="shared" si="0"/>
        <v>9</v>
      </c>
      <c r="B19" s="16" t="s">
        <v>389</v>
      </c>
      <c r="E19" s="345">
        <f>-'AH-2'!E54</f>
        <v>-11762.996999999999</v>
      </c>
      <c r="G19" s="247" t="str">
        <f>"Negative of AH-2; Line "&amp;'AH-2'!A54&amp;"; Col. b"</f>
        <v>Negative of AH-2; Line 44; Col. b</v>
      </c>
      <c r="H19" s="247">
        <f t="shared" si="1"/>
        <v>9</v>
      </c>
    </row>
    <row r="20" spans="1:10">
      <c r="A20" s="247">
        <f t="shared" si="0"/>
        <v>10</v>
      </c>
      <c r="B20" s="16" t="s">
        <v>390</v>
      </c>
      <c r="E20" s="345">
        <f>-'AH-2'!E55</f>
        <v>-10628.251</v>
      </c>
      <c r="G20" s="247" t="str">
        <f>"Negative of AH-2; Line "&amp;'AH-2'!A55&amp;"; Col. b"</f>
        <v>Negative of AH-2; Line 45; Col. b</v>
      </c>
      <c r="H20" s="247">
        <f t="shared" si="1"/>
        <v>10</v>
      </c>
    </row>
    <row r="21" spans="1:10">
      <c r="A21" s="247">
        <f t="shared" si="0"/>
        <v>11</v>
      </c>
      <c r="B21" s="3" t="s">
        <v>391</v>
      </c>
      <c r="E21" s="345">
        <f>-'AH-2'!E56</f>
        <v>0</v>
      </c>
      <c r="G21" s="247" t="str">
        <f>"Negative of AH-2; Line "&amp;'AH-2'!A56&amp;"; Col. b"</f>
        <v>Negative of AH-2; Line 46; Col. b</v>
      </c>
      <c r="H21" s="247">
        <f t="shared" si="1"/>
        <v>11</v>
      </c>
    </row>
    <row r="22" spans="1:10">
      <c r="A22" s="247">
        <f t="shared" si="0"/>
        <v>12</v>
      </c>
      <c r="B22" s="3" t="s">
        <v>392</v>
      </c>
      <c r="E22" s="345">
        <f>-'AH-2'!E62</f>
        <v>-13147.83533</v>
      </c>
      <c r="G22" s="247" t="str">
        <f>"Negative of AH-2; Line "&amp;'AH-2'!A62&amp;"; Col. b"</f>
        <v>Negative of AH-2; Line 52; Col. b</v>
      </c>
      <c r="H22" s="247">
        <f t="shared" si="1"/>
        <v>12</v>
      </c>
    </row>
    <row r="23" spans="1:10">
      <c r="A23" s="247">
        <f t="shared" si="0"/>
        <v>13</v>
      </c>
      <c r="B23" s="16" t="s">
        <v>393</v>
      </c>
      <c r="E23" s="345">
        <f>-'AH-2'!E63</f>
        <v>-21615.627</v>
      </c>
      <c r="G23" s="247" t="str">
        <f>"Negative of AH-2; Line "&amp;'AH-2'!A63&amp;"; Col. b"</f>
        <v>Negative of AH-2; Line 53; Col. b</v>
      </c>
      <c r="H23" s="247">
        <f t="shared" si="1"/>
        <v>13</v>
      </c>
    </row>
    <row r="24" spans="1:10">
      <c r="A24" s="247">
        <f t="shared" si="0"/>
        <v>14</v>
      </c>
      <c r="B24" s="16" t="s">
        <v>394</v>
      </c>
      <c r="E24" s="345">
        <f>-'AH-2'!E64</f>
        <v>-36071.786999999997</v>
      </c>
      <c r="G24" s="247" t="str">
        <f>"Negative of AH-2; Line "&amp;'AH-2'!A64&amp;"; Col. b"</f>
        <v>Negative of AH-2; Line 54; Col. b</v>
      </c>
      <c r="H24" s="247">
        <f t="shared" si="1"/>
        <v>14</v>
      </c>
    </row>
    <row r="25" spans="1:10">
      <c r="A25" s="247">
        <f t="shared" si="0"/>
        <v>15</v>
      </c>
      <c r="B25" s="16" t="s">
        <v>395</v>
      </c>
      <c r="E25" s="345">
        <f>-'AH-2'!E65</f>
        <v>-1151.414</v>
      </c>
      <c r="G25" s="247" t="str">
        <f>"Negative of AH-2; Line "&amp;'AH-2'!A65&amp;"; Col. b"</f>
        <v>Negative of AH-2; Line 55; Col. b</v>
      </c>
      <c r="H25" s="247">
        <f t="shared" si="1"/>
        <v>15</v>
      </c>
    </row>
    <row r="26" spans="1:10">
      <c r="A26" s="247">
        <f t="shared" si="0"/>
        <v>16</v>
      </c>
      <c r="B26" s="3" t="s">
        <v>888</v>
      </c>
      <c r="E26" s="1199">
        <f>-'AH-2'!E51</f>
        <v>-111.42700000000001</v>
      </c>
      <c r="G26" s="247" t="s">
        <v>914</v>
      </c>
      <c r="H26" s="247">
        <f t="shared" si="1"/>
        <v>16</v>
      </c>
    </row>
    <row r="27" spans="1:10">
      <c r="A27" s="247">
        <f t="shared" si="0"/>
        <v>17</v>
      </c>
      <c r="B27" s="3" t="s">
        <v>396</v>
      </c>
      <c r="E27" s="980">
        <f>SUM(E15:E26)</f>
        <v>49470.844099999958</v>
      </c>
      <c r="G27" s="462" t="str">
        <f>"Sum Lines "&amp;A15&amp;" thru "&amp;A26</f>
        <v>Sum Lines 5 thru 16</v>
      </c>
      <c r="H27" s="247">
        <f t="shared" si="1"/>
        <v>17</v>
      </c>
    </row>
    <row r="28" spans="1:10">
      <c r="A28" s="247">
        <f t="shared" si="0"/>
        <v>18</v>
      </c>
      <c r="E28" s="164"/>
      <c r="H28" s="247">
        <f t="shared" si="1"/>
        <v>18</v>
      </c>
    </row>
    <row r="29" spans="1:10">
      <c r="A29" s="247">
        <f t="shared" si="0"/>
        <v>19</v>
      </c>
      <c r="B29" s="20" t="s">
        <v>397</v>
      </c>
      <c r="E29" s="463"/>
      <c r="G29" s="247"/>
      <c r="H29" s="247">
        <f t="shared" si="1"/>
        <v>19</v>
      </c>
    </row>
    <row r="30" spans="1:10">
      <c r="A30" s="247">
        <f t="shared" si="0"/>
        <v>20</v>
      </c>
      <c r="B30" s="6" t="s">
        <v>398</v>
      </c>
      <c r="C30" s="247"/>
      <c r="E30" s="429">
        <f>'AH-3'!D30</f>
        <v>609067.00124999986</v>
      </c>
      <c r="G30" s="247" t="str">
        <f>"AH-3; Line "&amp;'AH-3'!A30&amp;"; Col. a"</f>
        <v>AH-3; Line 20; Col. a</v>
      </c>
      <c r="H30" s="247">
        <f t="shared" si="1"/>
        <v>20</v>
      </c>
    </row>
    <row r="31" spans="1:10">
      <c r="A31" s="247">
        <f t="shared" si="0"/>
        <v>21</v>
      </c>
      <c r="B31" s="6" t="s">
        <v>399</v>
      </c>
      <c r="E31" s="463" t="s">
        <v>185</v>
      </c>
      <c r="G31" s="247"/>
      <c r="H31" s="247">
        <f t="shared" si="1"/>
        <v>21</v>
      </c>
    </row>
    <row r="32" spans="1:10">
      <c r="A32" s="247">
        <f t="shared" si="0"/>
        <v>22</v>
      </c>
      <c r="B32" s="420" t="s">
        <v>400</v>
      </c>
      <c r="E32" s="345">
        <f>-'AH-3'!E44</f>
        <v>-278.70775000000003</v>
      </c>
      <c r="G32" s="247" t="s">
        <v>1028</v>
      </c>
      <c r="H32" s="247">
        <f t="shared" si="1"/>
        <v>22</v>
      </c>
      <c r="I32" s="740"/>
      <c r="J32" s="464"/>
    </row>
    <row r="33" spans="1:10" ht="31.5">
      <c r="A33" s="247">
        <f t="shared" si="0"/>
        <v>23</v>
      </c>
      <c r="B33" s="420" t="s">
        <v>401</v>
      </c>
      <c r="E33" s="345">
        <f>-SUM(+'AH-3'!E34+'AH-3'!E35+'AH-3'!D39)</f>
        <v>-1620.6259018430001</v>
      </c>
      <c r="G33" s="481" t="s">
        <v>1027</v>
      </c>
      <c r="H33" s="247">
        <f t="shared" si="1"/>
        <v>23</v>
      </c>
      <c r="I33" s="740"/>
      <c r="J33" s="464"/>
    </row>
    <row r="34" spans="1:10">
      <c r="A34" s="247">
        <f t="shared" si="0"/>
        <v>24</v>
      </c>
      <c r="B34" s="420" t="s">
        <v>402</v>
      </c>
      <c r="E34" s="345">
        <f>-'AH-3'!D40</f>
        <v>0</v>
      </c>
      <c r="G34" s="247" t="s">
        <v>1014</v>
      </c>
      <c r="H34" s="247">
        <f t="shared" si="1"/>
        <v>24</v>
      </c>
    </row>
    <row r="35" spans="1:10">
      <c r="A35" s="247">
        <f t="shared" si="0"/>
        <v>25</v>
      </c>
      <c r="B35" s="420" t="s">
        <v>403</v>
      </c>
      <c r="E35" s="345">
        <f>-'AH-3'!D41</f>
        <v>-1168.0407399999999</v>
      </c>
      <c r="G35" s="247" t="s">
        <v>1029</v>
      </c>
      <c r="H35" s="247">
        <f t="shared" si="1"/>
        <v>25</v>
      </c>
      <c r="J35" s="464"/>
    </row>
    <row r="36" spans="1:10">
      <c r="A36" s="247">
        <f t="shared" si="0"/>
        <v>26</v>
      </c>
      <c r="B36" s="420" t="s">
        <v>404</v>
      </c>
      <c r="E36" s="345">
        <f>-'AH-3'!D37</f>
        <v>-17282.341769999999</v>
      </c>
      <c r="G36" s="247" t="s">
        <v>1030</v>
      </c>
      <c r="H36" s="247">
        <f t="shared" si="1"/>
        <v>26</v>
      </c>
      <c r="J36" s="464"/>
    </row>
    <row r="37" spans="1:10">
      <c r="A37" s="247">
        <f t="shared" si="0"/>
        <v>27</v>
      </c>
      <c r="B37" s="420" t="s">
        <v>405</v>
      </c>
      <c r="E37" s="345">
        <v>0</v>
      </c>
      <c r="G37" s="840" t="s">
        <v>1031</v>
      </c>
      <c r="H37" s="247">
        <f t="shared" si="1"/>
        <v>27</v>
      </c>
      <c r="J37" s="464"/>
    </row>
    <row r="38" spans="1:10">
      <c r="A38" s="247">
        <f t="shared" si="0"/>
        <v>28</v>
      </c>
      <c r="B38" s="420" t="s">
        <v>406</v>
      </c>
      <c r="E38" s="345">
        <f>-'AH-3'!E43</f>
        <v>-31.128819999999994</v>
      </c>
      <c r="G38" s="481" t="s">
        <v>1032</v>
      </c>
      <c r="H38" s="247">
        <f t="shared" si="1"/>
        <v>28</v>
      </c>
      <c r="I38" s="740"/>
    </row>
    <row r="39" spans="1:10">
      <c r="A39" s="247">
        <f t="shared" si="0"/>
        <v>29</v>
      </c>
      <c r="B39" s="420" t="s">
        <v>407</v>
      </c>
      <c r="E39" s="345">
        <f>-'AH-3'!E36</f>
        <v>-112800.96351999999</v>
      </c>
      <c r="G39" s="247" t="s">
        <v>1033</v>
      </c>
      <c r="H39" s="247">
        <f t="shared" si="1"/>
        <v>29</v>
      </c>
      <c r="I39" s="740"/>
      <c r="J39" s="464"/>
    </row>
    <row r="40" spans="1:10">
      <c r="A40" s="247">
        <f t="shared" si="0"/>
        <v>30</v>
      </c>
      <c r="B40" s="420" t="s">
        <v>408</v>
      </c>
      <c r="E40" s="345">
        <f>-'AH-3'!E45</f>
        <v>0</v>
      </c>
      <c r="G40" s="481" t="s">
        <v>1034</v>
      </c>
      <c r="H40" s="247">
        <f t="shared" si="1"/>
        <v>30</v>
      </c>
    </row>
    <row r="41" spans="1:10">
      <c r="A41" s="247">
        <f t="shared" si="0"/>
        <v>31</v>
      </c>
      <c r="B41" s="420" t="s">
        <v>409</v>
      </c>
      <c r="E41" s="345">
        <f>-'AH-3'!D38</f>
        <v>0</v>
      </c>
      <c r="G41" s="481" t="s">
        <v>1035</v>
      </c>
      <c r="H41" s="247">
        <f t="shared" si="1"/>
        <v>31</v>
      </c>
    </row>
    <row r="42" spans="1:10">
      <c r="A42" s="247">
        <f t="shared" si="0"/>
        <v>32</v>
      </c>
      <c r="B42" s="420" t="s">
        <v>887</v>
      </c>
      <c r="E42" s="1019">
        <f>-SUM('AH-3'!E42)</f>
        <v>0</v>
      </c>
      <c r="G42" s="481" t="s">
        <v>1036</v>
      </c>
      <c r="H42" s="247">
        <f t="shared" si="1"/>
        <v>32</v>
      </c>
    </row>
    <row r="43" spans="1:10">
      <c r="A43" s="247">
        <f t="shared" si="0"/>
        <v>33</v>
      </c>
      <c r="B43" s="6" t="s">
        <v>410</v>
      </c>
      <c r="E43" s="465">
        <f>SUM(E30:E42)</f>
        <v>475885.19274815707</v>
      </c>
      <c r="G43" s="247" t="str">
        <f>"Sum Lines "&amp;A30&amp;" thru "&amp;A42</f>
        <v>Sum Lines 20 thru 32</v>
      </c>
      <c r="H43" s="247">
        <f t="shared" si="1"/>
        <v>33</v>
      </c>
      <c r="J43" s="907"/>
    </row>
    <row r="44" spans="1:10">
      <c r="A44" s="247">
        <f t="shared" si="0"/>
        <v>34</v>
      </c>
      <c r="B44" s="6" t="s">
        <v>411</v>
      </c>
      <c r="E44" s="1019">
        <f>-'AH-3'!F15</f>
        <v>-10420.114649999998</v>
      </c>
      <c r="G44" s="247" t="str">
        <f>"Negative of AH-3; Line "&amp;'AH-3'!A15&amp;"; Col. c"</f>
        <v>Negative of AH-3; Line 5; Col. c</v>
      </c>
      <c r="H44" s="247">
        <f t="shared" si="1"/>
        <v>34</v>
      </c>
    </row>
    <row r="45" spans="1:10">
      <c r="A45" s="247">
        <f t="shared" si="0"/>
        <v>35</v>
      </c>
      <c r="B45" s="6" t="s">
        <v>412</v>
      </c>
      <c r="E45" s="465">
        <f>SUM(E43:E44)</f>
        <v>465465.07809815707</v>
      </c>
      <c r="G45" s="247" t="str">
        <f>"Line "&amp;A43&amp;" + Line "&amp;A44</f>
        <v>Line 33 + Line 34</v>
      </c>
      <c r="H45" s="247">
        <f t="shared" si="1"/>
        <v>35</v>
      </c>
    </row>
    <row r="46" spans="1:10">
      <c r="A46" s="247">
        <f t="shared" si="0"/>
        <v>36</v>
      </c>
      <c r="B46" s="3" t="s">
        <v>197</v>
      </c>
      <c r="E46" s="1153">
        <f>'Stmt AI'!E27</f>
        <v>0.1045186789759834</v>
      </c>
      <c r="G46" s="462" t="str">
        <f>"Statement AI; Line "&amp;'Stmt AI'!A27</f>
        <v>Statement AI; Line 17</v>
      </c>
      <c r="H46" s="247">
        <f t="shared" si="1"/>
        <v>36</v>
      </c>
    </row>
    <row r="47" spans="1:10">
      <c r="A47" s="247">
        <f t="shared" si="0"/>
        <v>37</v>
      </c>
      <c r="B47" s="6" t="s">
        <v>413</v>
      </c>
      <c r="E47" s="981">
        <f>E45*E46</f>
        <v>48649.795072272318</v>
      </c>
      <c r="G47" s="247" t="str">
        <f>"Line "&amp;A45&amp;" x Line "&amp;A46</f>
        <v>Line 35 x Line 36</v>
      </c>
      <c r="H47" s="247">
        <f t="shared" si="1"/>
        <v>37</v>
      </c>
    </row>
    <row r="48" spans="1:10">
      <c r="A48" s="247">
        <f t="shared" si="0"/>
        <v>38</v>
      </c>
      <c r="B48" s="216" t="s">
        <v>414</v>
      </c>
      <c r="E48" s="1154">
        <f>E68*(-E44)</f>
        <v>3825.2771305583606</v>
      </c>
      <c r="G48" s="247" t="str">
        <f>"Negative of Line "&amp;A44&amp;" x Line "&amp;A68</f>
        <v>Negative of Line 34 x Line 58</v>
      </c>
      <c r="H48" s="247">
        <f t="shared" si="1"/>
        <v>38</v>
      </c>
    </row>
    <row r="49" spans="1:9" ht="16.5" thickBot="1">
      <c r="A49" s="247">
        <f t="shared" si="0"/>
        <v>39</v>
      </c>
      <c r="B49" s="420" t="s">
        <v>415</v>
      </c>
      <c r="E49" s="478">
        <f>E48+E47</f>
        <v>52475.072202830677</v>
      </c>
      <c r="G49" s="247" t="str">
        <f>"Line "&amp;A47&amp;" + Line "&amp;A48</f>
        <v>Line 37 + Line 38</v>
      </c>
      <c r="H49" s="247">
        <f t="shared" si="1"/>
        <v>39</v>
      </c>
      <c r="I49" s="420"/>
    </row>
    <row r="50" spans="1:9" ht="16.5" thickTop="1">
      <c r="A50" s="247">
        <f t="shared" si="0"/>
        <v>40</v>
      </c>
      <c r="B50" s="466"/>
      <c r="E50" s="467"/>
      <c r="G50" s="247"/>
      <c r="H50" s="247">
        <f t="shared" si="1"/>
        <v>40</v>
      </c>
    </row>
    <row r="51" spans="1:9">
      <c r="A51" s="247">
        <f t="shared" si="0"/>
        <v>41</v>
      </c>
      <c r="B51" s="7" t="s">
        <v>416</v>
      </c>
      <c r="E51" s="468"/>
      <c r="G51" s="247"/>
      <c r="H51" s="247">
        <f t="shared" si="1"/>
        <v>41</v>
      </c>
    </row>
    <row r="52" spans="1:9">
      <c r="A52" s="247">
        <f t="shared" si="0"/>
        <v>42</v>
      </c>
      <c r="B52" s="6" t="s">
        <v>417</v>
      </c>
      <c r="E52" s="469">
        <f>'Stmt AD'!I35</f>
        <v>8378423.1055796882</v>
      </c>
      <c r="G52" s="247" t="str">
        <f>"Statement AD; Line "&amp;'Stmt AD'!A35</f>
        <v>Statement AD; Line 25</v>
      </c>
      <c r="H52" s="247">
        <f t="shared" si="1"/>
        <v>42</v>
      </c>
    </row>
    <row r="53" spans="1:9">
      <c r="A53" s="247">
        <f t="shared" si="0"/>
        <v>43</v>
      </c>
      <c r="B53" s="6" t="s">
        <v>199</v>
      </c>
      <c r="E53" s="470">
        <v>0</v>
      </c>
      <c r="G53" s="247" t="s">
        <v>306</v>
      </c>
      <c r="H53" s="247">
        <f t="shared" si="1"/>
        <v>43</v>
      </c>
    </row>
    <row r="54" spans="1:9">
      <c r="A54" s="247">
        <f t="shared" si="0"/>
        <v>44</v>
      </c>
      <c r="B54" s="6" t="s">
        <v>200</v>
      </c>
      <c r="E54" s="471">
        <f>'Stmt AD'!I39</f>
        <v>66172.260741565377</v>
      </c>
      <c r="G54" s="472" t="str">
        <f>"Statement AD; Line "&amp;'Stmt AD'!A39</f>
        <v>Statement AD; Line 29</v>
      </c>
      <c r="H54" s="247">
        <f t="shared" si="1"/>
        <v>44</v>
      </c>
    </row>
    <row r="55" spans="1:9">
      <c r="A55" s="247">
        <f t="shared" si="0"/>
        <v>45</v>
      </c>
      <c r="B55" s="6" t="s">
        <v>201</v>
      </c>
      <c r="E55" s="1155">
        <f>'Stmt AD'!I41</f>
        <v>197060.06656584344</v>
      </c>
      <c r="G55" s="472" t="str">
        <f>"Statement AD; Line "&amp;'Stmt AD'!A41</f>
        <v>Statement AD; Line 31</v>
      </c>
      <c r="H55" s="247">
        <f t="shared" si="1"/>
        <v>45</v>
      </c>
    </row>
    <row r="56" spans="1:9" ht="16.5" thickBot="1">
      <c r="A56" s="247">
        <f t="shared" si="0"/>
        <v>46</v>
      </c>
      <c r="B56" s="6" t="s">
        <v>418</v>
      </c>
      <c r="E56" s="982">
        <f>SUM(E52:E55)</f>
        <v>8641655.4328870978</v>
      </c>
      <c r="G56" s="247" t="str">
        <f>"Sum Lines "&amp;A52&amp;" thru "&amp;A55</f>
        <v>Sum Lines 42 thru 45</v>
      </c>
      <c r="H56" s="247">
        <f t="shared" si="1"/>
        <v>46</v>
      </c>
      <c r="I56" s="420"/>
    </row>
    <row r="57" spans="1:9" ht="16.5" thickTop="1">
      <c r="A57" s="247">
        <f t="shared" si="0"/>
        <v>47</v>
      </c>
      <c r="B57" s="466"/>
      <c r="E57" s="164"/>
      <c r="G57" s="247"/>
      <c r="H57" s="247">
        <f t="shared" si="1"/>
        <v>47</v>
      </c>
    </row>
    <row r="58" spans="1:9">
      <c r="A58" s="247">
        <f t="shared" si="0"/>
        <v>48</v>
      </c>
      <c r="B58" s="6" t="s">
        <v>198</v>
      </c>
      <c r="E58" s="473">
        <f>E52</f>
        <v>8378423.1055796882</v>
      </c>
      <c r="G58" s="354" t="str">
        <f>"Line "&amp;A52&amp;" Above"</f>
        <v>Line 42 Above</v>
      </c>
      <c r="H58" s="247">
        <f t="shared" si="1"/>
        <v>48</v>
      </c>
    </row>
    <row r="59" spans="1:9">
      <c r="A59" s="247">
        <f t="shared" si="0"/>
        <v>49</v>
      </c>
      <c r="B59" s="6" t="s">
        <v>419</v>
      </c>
      <c r="E59" s="474">
        <f>'Stmt AD'!I11</f>
        <v>593486.33534692298</v>
      </c>
      <c r="G59" s="472" t="str">
        <f>"Statement AD; Line "&amp;'Stmt AD'!A11</f>
        <v>Statement AD; Line 1</v>
      </c>
      <c r="H59" s="247">
        <f t="shared" si="1"/>
        <v>49</v>
      </c>
    </row>
    <row r="60" spans="1:9">
      <c r="A60" s="247">
        <f t="shared" si="0"/>
        <v>50</v>
      </c>
      <c r="B60" s="6" t="s">
        <v>420</v>
      </c>
      <c r="E60" s="470">
        <v>0</v>
      </c>
      <c r="G60" s="247" t="s">
        <v>306</v>
      </c>
      <c r="H60" s="247">
        <f t="shared" si="1"/>
        <v>50</v>
      </c>
    </row>
    <row r="61" spans="1:9">
      <c r="A61" s="247">
        <f t="shared" si="0"/>
        <v>51</v>
      </c>
      <c r="B61" s="6" t="s">
        <v>421</v>
      </c>
      <c r="E61" s="474">
        <f>'Stmt AD'!I17</f>
        <v>583302.3956007692</v>
      </c>
      <c r="G61" s="472" t="str">
        <f>"Statement AD; Line "&amp;'Stmt AD'!A17</f>
        <v>Statement AD; Line 7</v>
      </c>
      <c r="H61" s="247">
        <f t="shared" si="1"/>
        <v>51</v>
      </c>
    </row>
    <row r="62" spans="1:9">
      <c r="A62" s="247">
        <f t="shared" si="0"/>
        <v>52</v>
      </c>
      <c r="B62" s="6" t="s">
        <v>422</v>
      </c>
      <c r="E62" s="474">
        <f>'Stmt AD'!I19</f>
        <v>11466273.071649544</v>
      </c>
      <c r="G62" s="472" t="str">
        <f>"Statement AD; Line "&amp;'Stmt AD'!A19</f>
        <v>Statement AD; Line 9</v>
      </c>
      <c r="H62" s="247">
        <f t="shared" si="1"/>
        <v>52</v>
      </c>
    </row>
    <row r="63" spans="1:9">
      <c r="A63" s="247">
        <f t="shared" si="0"/>
        <v>53</v>
      </c>
      <c r="B63" s="420" t="s">
        <v>199</v>
      </c>
      <c r="E63" s="470">
        <v>0</v>
      </c>
      <c r="G63" s="247" t="s">
        <v>306</v>
      </c>
      <c r="H63" s="247">
        <f t="shared" si="1"/>
        <v>53</v>
      </c>
    </row>
    <row r="64" spans="1:9">
      <c r="A64" s="247">
        <f t="shared" si="0"/>
        <v>54</v>
      </c>
      <c r="B64" s="6" t="s">
        <v>423</v>
      </c>
      <c r="E64" s="474">
        <f>'Stmt AD'!I27</f>
        <v>633114.20877000014</v>
      </c>
      <c r="G64" s="472" t="str">
        <f>"Statement AD; Line "&amp;'Stmt AD'!A27</f>
        <v>Statement AD; Line 17</v>
      </c>
      <c r="H64" s="247">
        <f t="shared" si="1"/>
        <v>54</v>
      </c>
    </row>
    <row r="65" spans="1:9">
      <c r="A65" s="247">
        <f t="shared" si="0"/>
        <v>55</v>
      </c>
      <c r="B65" s="6" t="s">
        <v>424</v>
      </c>
      <c r="E65" s="1156">
        <f>'Stmt AD'!I29</f>
        <v>1885405.2547978</v>
      </c>
      <c r="G65" s="472" t="str">
        <f>"Statement AD; Line "&amp;'Stmt AD'!A29</f>
        <v>Statement AD; Line 19</v>
      </c>
      <c r="H65" s="247">
        <f t="shared" si="1"/>
        <v>55</v>
      </c>
    </row>
    <row r="66" spans="1:9" ht="16.5" thickBot="1">
      <c r="A66" s="247">
        <f t="shared" si="0"/>
        <v>56</v>
      </c>
      <c r="B66" s="6" t="s">
        <v>425</v>
      </c>
      <c r="E66" s="983">
        <f>SUM(E58:E65)</f>
        <v>23540004.371744726</v>
      </c>
      <c r="G66" s="247" t="str">
        <f>"Sum Lines "&amp;A58&amp;" thru "&amp;A65</f>
        <v>Sum Lines 48 thru 55</v>
      </c>
      <c r="H66" s="247">
        <f t="shared" si="1"/>
        <v>56</v>
      </c>
      <c r="I66" s="420"/>
    </row>
    <row r="67" spans="1:9" ht="16.5" thickTop="1">
      <c r="A67" s="247">
        <f t="shared" si="0"/>
        <v>57</v>
      </c>
      <c r="E67" s="396"/>
      <c r="G67" s="247"/>
      <c r="H67" s="247">
        <f t="shared" si="1"/>
        <v>57</v>
      </c>
    </row>
    <row r="68" spans="1:9" ht="19.5" thickBot="1">
      <c r="A68" s="247">
        <f t="shared" si="0"/>
        <v>58</v>
      </c>
      <c r="B68" s="6" t="s">
        <v>426</v>
      </c>
      <c r="E68" s="475">
        <f>E56/E66</f>
        <v>0.36710509039920797</v>
      </c>
      <c r="G68" s="247" t="str">
        <f>"Line "&amp;A56&amp;" / Line "&amp;A66</f>
        <v>Line 46 / Line 56</v>
      </c>
      <c r="H68" s="247">
        <f t="shared" si="1"/>
        <v>58</v>
      </c>
      <c r="I68" s="420"/>
    </row>
    <row r="69" spans="1:9" ht="16.5" thickTop="1">
      <c r="B69" s="420" t="s">
        <v>185</v>
      </c>
      <c r="E69" s="476"/>
      <c r="G69" s="247"/>
      <c r="H69" s="247"/>
    </row>
    <row r="70" spans="1:9">
      <c r="B70" s="6"/>
      <c r="E70" s="476"/>
      <c r="F70" s="476"/>
      <c r="G70" s="247"/>
      <c r="H70" s="247"/>
    </row>
    <row r="71" spans="1:9" ht="18.75">
      <c r="A71" s="477">
        <v>1</v>
      </c>
      <c r="B71" s="6" t="str">
        <f>"Used to allocate property insurance in conformance with the TO"&amp;Automation!B1&amp;" Formula Rate Mechanism."</f>
        <v>Used to allocate property insurance in conformance with the TO6 Formula Rate Mechanism.</v>
      </c>
      <c r="H71" s="247"/>
    </row>
    <row r="72" spans="1:9">
      <c r="B72" s="420"/>
      <c r="E72" s="396"/>
      <c r="F72" s="396"/>
      <c r="G72" s="247"/>
      <c r="H72" s="24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3" orientation="portrait" r:id="rId1"/>
  <headerFooter scaleWithDoc="0">
    <oddFooter>&amp;C&amp;"Times New Roman,Regular"&amp;10AH</oddFooter>
  </headerFooter>
  <customProperties>
    <customPr name="_pios_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J67"/>
  <sheetViews>
    <sheetView topLeftCell="A24" zoomScale="80" zoomScaleNormal="80" workbookViewId="0">
      <selection activeCell="G34" sqref="G34"/>
    </sheetView>
  </sheetViews>
  <sheetFormatPr defaultColWidth="10" defaultRowHeight="15.75"/>
  <cols>
    <col min="1" max="1" width="5.140625" style="757" customWidth="1"/>
    <col min="2" max="2" width="11.140625" style="742" customWidth="1"/>
    <col min="3" max="3" width="69.140625" style="742" customWidth="1"/>
    <col min="4" max="4" width="18.5703125" style="742" customWidth="1"/>
    <col min="5" max="5" width="5.140625" style="757" customWidth="1"/>
    <col min="6" max="7" width="10" style="742"/>
    <col min="8" max="8" width="14" style="742" customWidth="1"/>
    <col min="9" max="16384" width="10" style="742"/>
  </cols>
  <sheetData>
    <row r="2" spans="1:10">
      <c r="A2" s="741"/>
      <c r="B2" s="1281" t="s">
        <v>0</v>
      </c>
      <c r="C2" s="1281"/>
      <c r="D2" s="1281"/>
      <c r="E2" s="551"/>
      <c r="F2" s="237"/>
      <c r="G2" s="534"/>
      <c r="H2" s="534"/>
      <c r="I2" s="534"/>
      <c r="J2" s="534"/>
    </row>
    <row r="3" spans="1:10">
      <c r="A3" s="580"/>
      <c r="B3" s="1296" t="str">
        <f>Automation!B3&amp;" Citizens Direct Maintenance"</f>
        <v>2024 Citizens Direct Maintenance</v>
      </c>
      <c r="C3" s="1296"/>
      <c r="D3" s="1296"/>
      <c r="E3" s="581"/>
      <c r="F3" s="534"/>
      <c r="G3" s="534"/>
      <c r="H3" s="534"/>
      <c r="I3" s="534"/>
      <c r="J3" s="534"/>
    </row>
    <row r="4" spans="1:10">
      <c r="A4" s="110"/>
      <c r="B4" s="1268" t="str">
        <f>" 12 Months Ending December 31, "&amp;Automation!$B$3</f>
        <v xml:space="preserve"> 12 Months Ending December 31, 2024</v>
      </c>
      <c r="C4" s="1268"/>
      <c r="D4" s="1268"/>
      <c r="E4" s="109"/>
      <c r="F4" s="63"/>
      <c r="G4" s="63"/>
      <c r="H4" s="63"/>
      <c r="I4" s="63"/>
      <c r="J4" s="63"/>
    </row>
    <row r="5" spans="1:10">
      <c r="A5" s="110"/>
      <c r="B5" s="1297" t="s">
        <v>3</v>
      </c>
      <c r="C5" s="1297"/>
      <c r="D5" s="1297"/>
      <c r="E5" s="109"/>
      <c r="F5" s="63"/>
      <c r="G5" s="63"/>
      <c r="H5" s="63"/>
      <c r="I5" s="63"/>
      <c r="J5" s="63"/>
    </row>
    <row r="6" spans="1:10" ht="16.5" thickBot="1">
      <c r="A6" s="109"/>
      <c r="B6" s="77"/>
      <c r="C6" s="77"/>
      <c r="D6" s="77"/>
      <c r="E6" s="109"/>
      <c r="F6" s="63"/>
      <c r="G6" s="63"/>
      <c r="H6" s="63"/>
      <c r="I6" s="63"/>
      <c r="J6" s="63"/>
    </row>
    <row r="7" spans="1:10">
      <c r="A7" s="743" t="s">
        <v>4</v>
      </c>
      <c r="B7" s="744" t="s">
        <v>427</v>
      </c>
      <c r="C7" s="745"/>
      <c r="D7" s="746"/>
      <c r="E7" s="743" t="s">
        <v>4</v>
      </c>
    </row>
    <row r="8" spans="1:10">
      <c r="A8" s="743" t="s">
        <v>5</v>
      </c>
      <c r="B8" s="1189" t="s">
        <v>260</v>
      </c>
      <c r="C8" s="1157" t="s">
        <v>261</v>
      </c>
      <c r="D8" s="1158" t="s">
        <v>7</v>
      </c>
      <c r="E8" s="743" t="s">
        <v>5</v>
      </c>
    </row>
    <row r="9" spans="1:10">
      <c r="A9" s="743">
        <v>1</v>
      </c>
      <c r="B9" s="747">
        <v>6110020</v>
      </c>
      <c r="C9" s="748" t="s">
        <v>428</v>
      </c>
      <c r="D9" s="984">
        <f>0/1000</f>
        <v>0</v>
      </c>
      <c r="E9" s="743">
        <f>A9</f>
        <v>1</v>
      </c>
    </row>
    <row r="10" spans="1:10">
      <c r="A10" s="743">
        <f>A9+1</f>
        <v>2</v>
      </c>
      <c r="B10" s="747">
        <v>6110030</v>
      </c>
      <c r="C10" s="748" t="s">
        <v>429</v>
      </c>
      <c r="D10" s="904">
        <f>0/1000</f>
        <v>0</v>
      </c>
      <c r="E10" s="743">
        <f>E9+1</f>
        <v>2</v>
      </c>
    </row>
    <row r="11" spans="1:10">
      <c r="A11" s="743">
        <f>A10+1</f>
        <v>3</v>
      </c>
      <c r="B11" s="747">
        <v>6110080</v>
      </c>
      <c r="C11" s="748" t="s">
        <v>430</v>
      </c>
      <c r="D11" s="904">
        <f t="shared" ref="D11:D54" si="0">0/1000</f>
        <v>0</v>
      </c>
      <c r="E11" s="743">
        <f>E10+1</f>
        <v>3</v>
      </c>
    </row>
    <row r="12" spans="1:10">
      <c r="A12" s="743">
        <f>A11+1</f>
        <v>4</v>
      </c>
      <c r="B12" s="747">
        <v>6110090</v>
      </c>
      <c r="C12" s="748" t="s">
        <v>431</v>
      </c>
      <c r="D12" s="904">
        <f t="shared" si="0"/>
        <v>0</v>
      </c>
      <c r="E12" s="743">
        <f>E11+1</f>
        <v>4</v>
      </c>
    </row>
    <row r="13" spans="1:10">
      <c r="A13" s="743">
        <f>A12+1</f>
        <v>5</v>
      </c>
      <c r="B13" s="747">
        <v>6110100</v>
      </c>
      <c r="C13" s="748" t="s">
        <v>432</v>
      </c>
      <c r="D13" s="904">
        <f t="shared" si="0"/>
        <v>0</v>
      </c>
      <c r="E13" s="743">
        <f>E12+1</f>
        <v>5</v>
      </c>
    </row>
    <row r="14" spans="1:10">
      <c r="A14" s="743">
        <f>A13+1</f>
        <v>6</v>
      </c>
      <c r="B14" s="747">
        <v>6110110</v>
      </c>
      <c r="C14" s="748" t="s">
        <v>433</v>
      </c>
      <c r="D14" s="904">
        <f t="shared" si="0"/>
        <v>0</v>
      </c>
      <c r="E14" s="743">
        <f>E13+1</f>
        <v>6</v>
      </c>
    </row>
    <row r="15" spans="1:10">
      <c r="A15" s="743">
        <f t="shared" ref="A15:A57" si="1">A14+1</f>
        <v>7</v>
      </c>
      <c r="B15" s="747">
        <v>6110120</v>
      </c>
      <c r="C15" s="748" t="s">
        <v>434</v>
      </c>
      <c r="D15" s="904">
        <f t="shared" si="0"/>
        <v>0</v>
      </c>
      <c r="E15" s="743">
        <f t="shared" ref="E15:E57" si="2">E14+1</f>
        <v>7</v>
      </c>
    </row>
    <row r="16" spans="1:10">
      <c r="A16" s="743">
        <f t="shared" si="1"/>
        <v>8</v>
      </c>
      <c r="B16" s="747">
        <v>6110130</v>
      </c>
      <c r="C16" s="748" t="s">
        <v>435</v>
      </c>
      <c r="D16" s="904">
        <f t="shared" si="0"/>
        <v>0</v>
      </c>
      <c r="E16" s="743">
        <f t="shared" si="2"/>
        <v>8</v>
      </c>
    </row>
    <row r="17" spans="1:5">
      <c r="A17" s="743">
        <f t="shared" si="1"/>
        <v>9</v>
      </c>
      <c r="B17" s="747">
        <v>6110335</v>
      </c>
      <c r="C17" s="748" t="s">
        <v>436</v>
      </c>
      <c r="D17" s="904">
        <f t="shared" si="0"/>
        <v>0</v>
      </c>
      <c r="E17" s="743">
        <f t="shared" si="2"/>
        <v>9</v>
      </c>
    </row>
    <row r="18" spans="1:5">
      <c r="A18" s="743">
        <f t="shared" si="1"/>
        <v>10</v>
      </c>
      <c r="B18" s="747">
        <v>6130020</v>
      </c>
      <c r="C18" s="748" t="s">
        <v>437</v>
      </c>
      <c r="D18" s="904">
        <f t="shared" si="0"/>
        <v>0</v>
      </c>
      <c r="E18" s="743">
        <f t="shared" si="2"/>
        <v>10</v>
      </c>
    </row>
    <row r="19" spans="1:5">
      <c r="A19" s="743">
        <f t="shared" si="1"/>
        <v>11</v>
      </c>
      <c r="B19" s="747">
        <v>6220007</v>
      </c>
      <c r="C19" s="748" t="s">
        <v>438</v>
      </c>
      <c r="D19" s="904">
        <f t="shared" si="0"/>
        <v>0</v>
      </c>
      <c r="E19" s="743">
        <f t="shared" si="2"/>
        <v>11</v>
      </c>
    </row>
    <row r="20" spans="1:5">
      <c r="A20" s="743">
        <f t="shared" si="1"/>
        <v>12</v>
      </c>
      <c r="B20" s="747">
        <v>6220100</v>
      </c>
      <c r="C20" s="748" t="s">
        <v>439</v>
      </c>
      <c r="D20" s="904">
        <f t="shared" si="0"/>
        <v>0</v>
      </c>
      <c r="E20" s="743">
        <f t="shared" si="2"/>
        <v>12</v>
      </c>
    </row>
    <row r="21" spans="1:5">
      <c r="A21" s="743">
        <f t="shared" si="1"/>
        <v>13</v>
      </c>
      <c r="B21" s="747">
        <v>6220600</v>
      </c>
      <c r="C21" s="748" t="s">
        <v>440</v>
      </c>
      <c r="D21" s="904">
        <f t="shared" si="0"/>
        <v>0</v>
      </c>
      <c r="E21" s="743">
        <f t="shared" si="2"/>
        <v>13</v>
      </c>
    </row>
    <row r="22" spans="1:5">
      <c r="A22" s="743">
        <f t="shared" si="1"/>
        <v>14</v>
      </c>
      <c r="B22" s="747">
        <v>6220850</v>
      </c>
      <c r="C22" s="748" t="s">
        <v>441</v>
      </c>
      <c r="D22" s="904">
        <f t="shared" si="0"/>
        <v>0</v>
      </c>
      <c r="E22" s="743">
        <f t="shared" si="2"/>
        <v>14</v>
      </c>
    </row>
    <row r="23" spans="1:5">
      <c r="A23" s="743">
        <f t="shared" si="1"/>
        <v>15</v>
      </c>
      <c r="B23" s="747">
        <v>6221000</v>
      </c>
      <c r="C23" s="748" t="s">
        <v>442</v>
      </c>
      <c r="D23" s="904">
        <f t="shared" si="0"/>
        <v>0</v>
      </c>
      <c r="E23" s="743">
        <f t="shared" si="2"/>
        <v>15</v>
      </c>
    </row>
    <row r="24" spans="1:5">
      <c r="A24" s="743">
        <f t="shared" si="1"/>
        <v>16</v>
      </c>
      <c r="B24" s="747">
        <v>6231042</v>
      </c>
      <c r="C24" s="748" t="s">
        <v>443</v>
      </c>
      <c r="D24" s="904">
        <f t="shared" si="0"/>
        <v>0</v>
      </c>
      <c r="E24" s="743">
        <f t="shared" si="2"/>
        <v>16</v>
      </c>
    </row>
    <row r="25" spans="1:5">
      <c r="A25" s="743">
        <f t="shared" si="1"/>
        <v>17</v>
      </c>
      <c r="B25" s="747">
        <v>6261050</v>
      </c>
      <c r="C25" s="748" t="s">
        <v>444</v>
      </c>
      <c r="D25" s="904">
        <f t="shared" si="0"/>
        <v>0</v>
      </c>
      <c r="E25" s="743">
        <f t="shared" si="2"/>
        <v>17</v>
      </c>
    </row>
    <row r="26" spans="1:5">
      <c r="A26" s="743">
        <f t="shared" si="1"/>
        <v>18</v>
      </c>
      <c r="B26" s="747">
        <v>6262050</v>
      </c>
      <c r="C26" s="748" t="s">
        <v>445</v>
      </c>
      <c r="D26" s="904">
        <f t="shared" si="0"/>
        <v>0</v>
      </c>
      <c r="E26" s="743">
        <f t="shared" si="2"/>
        <v>18</v>
      </c>
    </row>
    <row r="27" spans="1:5">
      <c r="A27" s="743">
        <f t="shared" si="1"/>
        <v>19</v>
      </c>
      <c r="B27" s="747">
        <v>6340000</v>
      </c>
      <c r="C27" s="748" t="s">
        <v>446</v>
      </c>
      <c r="D27" s="904">
        <f t="shared" si="0"/>
        <v>0</v>
      </c>
      <c r="E27" s="743">
        <f t="shared" si="2"/>
        <v>19</v>
      </c>
    </row>
    <row r="28" spans="1:5">
      <c r="A28" s="743">
        <f t="shared" si="1"/>
        <v>20</v>
      </c>
      <c r="B28" s="747">
        <v>9121100</v>
      </c>
      <c r="C28" s="748" t="s">
        <v>447</v>
      </c>
      <c r="D28" s="904">
        <f t="shared" si="0"/>
        <v>0</v>
      </c>
      <c r="E28" s="743">
        <f t="shared" si="2"/>
        <v>20</v>
      </c>
    </row>
    <row r="29" spans="1:5">
      <c r="A29" s="743">
        <f t="shared" si="1"/>
        <v>21</v>
      </c>
      <c r="B29" s="747">
        <v>9121200</v>
      </c>
      <c r="C29" s="748" t="s">
        <v>448</v>
      </c>
      <c r="D29" s="904">
        <f t="shared" si="0"/>
        <v>0</v>
      </c>
      <c r="E29" s="743">
        <f t="shared" si="2"/>
        <v>21</v>
      </c>
    </row>
    <row r="30" spans="1:5">
      <c r="A30" s="743">
        <f t="shared" si="1"/>
        <v>22</v>
      </c>
      <c r="B30" s="747">
        <v>9121400</v>
      </c>
      <c r="C30" s="748" t="s">
        <v>449</v>
      </c>
      <c r="D30" s="904">
        <f t="shared" si="0"/>
        <v>0</v>
      </c>
      <c r="E30" s="743">
        <f t="shared" si="2"/>
        <v>22</v>
      </c>
    </row>
    <row r="31" spans="1:5">
      <c r="A31" s="743">
        <f t="shared" si="1"/>
        <v>23</v>
      </c>
      <c r="B31" s="747">
        <v>9121500</v>
      </c>
      <c r="C31" s="748" t="s">
        <v>450</v>
      </c>
      <c r="D31" s="904">
        <f t="shared" si="0"/>
        <v>0</v>
      </c>
      <c r="E31" s="743">
        <f t="shared" si="2"/>
        <v>23</v>
      </c>
    </row>
    <row r="32" spans="1:5">
      <c r="A32" s="743">
        <f t="shared" si="1"/>
        <v>24</v>
      </c>
      <c r="B32" s="747">
        <v>9121600</v>
      </c>
      <c r="C32" s="748" t="s">
        <v>451</v>
      </c>
      <c r="D32" s="904">
        <f t="shared" si="0"/>
        <v>0</v>
      </c>
      <c r="E32" s="743">
        <f t="shared" si="2"/>
        <v>24</v>
      </c>
    </row>
    <row r="33" spans="1:5">
      <c r="A33" s="743">
        <f t="shared" si="1"/>
        <v>25</v>
      </c>
      <c r="B33" s="747">
        <v>9122300</v>
      </c>
      <c r="C33" s="748" t="s">
        <v>452</v>
      </c>
      <c r="D33" s="904">
        <f t="shared" si="0"/>
        <v>0</v>
      </c>
      <c r="E33" s="743">
        <f t="shared" si="2"/>
        <v>25</v>
      </c>
    </row>
    <row r="34" spans="1:5">
      <c r="A34" s="743">
        <f t="shared" si="1"/>
        <v>26</v>
      </c>
      <c r="B34" s="747">
        <v>9122400</v>
      </c>
      <c r="C34" s="748" t="s">
        <v>453</v>
      </c>
      <c r="D34" s="904">
        <f t="shared" si="0"/>
        <v>0</v>
      </c>
      <c r="E34" s="743">
        <f t="shared" si="2"/>
        <v>26</v>
      </c>
    </row>
    <row r="35" spans="1:5">
      <c r="A35" s="743">
        <f t="shared" si="1"/>
        <v>27</v>
      </c>
      <c r="B35" s="747">
        <v>9122500</v>
      </c>
      <c r="C35" s="748" t="s">
        <v>454</v>
      </c>
      <c r="D35" s="904">
        <f t="shared" si="0"/>
        <v>0</v>
      </c>
      <c r="E35" s="743">
        <f t="shared" si="2"/>
        <v>27</v>
      </c>
    </row>
    <row r="36" spans="1:5">
      <c r="A36" s="743">
        <f t="shared" si="1"/>
        <v>28</v>
      </c>
      <c r="B36" s="747">
        <v>9122600</v>
      </c>
      <c r="C36" s="748" t="s">
        <v>455</v>
      </c>
      <c r="D36" s="904">
        <f t="shared" si="0"/>
        <v>0</v>
      </c>
      <c r="E36" s="743">
        <f t="shared" si="2"/>
        <v>28</v>
      </c>
    </row>
    <row r="37" spans="1:5">
      <c r="A37" s="743">
        <f t="shared" si="1"/>
        <v>29</v>
      </c>
      <c r="B37" s="747">
        <v>9122900</v>
      </c>
      <c r="C37" s="748" t="s">
        <v>456</v>
      </c>
      <c r="D37" s="904">
        <f t="shared" si="0"/>
        <v>0</v>
      </c>
      <c r="E37" s="743">
        <f t="shared" si="2"/>
        <v>29</v>
      </c>
    </row>
    <row r="38" spans="1:5">
      <c r="A38" s="743">
        <f t="shared" si="1"/>
        <v>30</v>
      </c>
      <c r="B38" s="747">
        <v>9123100</v>
      </c>
      <c r="C38" s="748" t="s">
        <v>457</v>
      </c>
      <c r="D38" s="904">
        <f t="shared" si="0"/>
        <v>0</v>
      </c>
      <c r="E38" s="743">
        <f t="shared" si="2"/>
        <v>30</v>
      </c>
    </row>
    <row r="39" spans="1:5">
      <c r="A39" s="743">
        <f t="shared" si="1"/>
        <v>31</v>
      </c>
      <c r="B39" s="747">
        <v>9123200</v>
      </c>
      <c r="C39" s="748" t="s">
        <v>458</v>
      </c>
      <c r="D39" s="904">
        <f t="shared" si="0"/>
        <v>0</v>
      </c>
      <c r="E39" s="743">
        <f t="shared" si="2"/>
        <v>31</v>
      </c>
    </row>
    <row r="40" spans="1:5">
      <c r="A40" s="743">
        <f t="shared" si="1"/>
        <v>32</v>
      </c>
      <c r="B40" s="747">
        <v>9123400</v>
      </c>
      <c r="C40" s="748" t="s">
        <v>459</v>
      </c>
      <c r="D40" s="904">
        <f t="shared" si="0"/>
        <v>0</v>
      </c>
      <c r="E40" s="743">
        <f t="shared" si="2"/>
        <v>32</v>
      </c>
    </row>
    <row r="41" spans="1:5">
      <c r="A41" s="743">
        <f t="shared" si="1"/>
        <v>33</v>
      </c>
      <c r="B41" s="747">
        <v>9123500</v>
      </c>
      <c r="C41" s="748" t="s">
        <v>460</v>
      </c>
      <c r="D41" s="904">
        <f t="shared" si="0"/>
        <v>0</v>
      </c>
      <c r="E41" s="743">
        <f t="shared" si="2"/>
        <v>33</v>
      </c>
    </row>
    <row r="42" spans="1:5">
      <c r="A42" s="743">
        <f t="shared" si="1"/>
        <v>34</v>
      </c>
      <c r="B42" s="747">
        <v>9123600</v>
      </c>
      <c r="C42" s="748" t="s">
        <v>461</v>
      </c>
      <c r="D42" s="904">
        <f t="shared" si="0"/>
        <v>0</v>
      </c>
      <c r="E42" s="743">
        <f t="shared" si="2"/>
        <v>34</v>
      </c>
    </row>
    <row r="43" spans="1:5">
      <c r="A43" s="743">
        <f t="shared" si="1"/>
        <v>35</v>
      </c>
      <c r="B43" s="747">
        <v>9124300</v>
      </c>
      <c r="C43" s="748" t="s">
        <v>462</v>
      </c>
      <c r="D43" s="904">
        <f t="shared" si="0"/>
        <v>0</v>
      </c>
      <c r="E43" s="743">
        <f t="shared" si="2"/>
        <v>35</v>
      </c>
    </row>
    <row r="44" spans="1:5">
      <c r="A44" s="743">
        <f t="shared" si="1"/>
        <v>36</v>
      </c>
      <c r="B44" s="747">
        <v>9124400</v>
      </c>
      <c r="C44" s="748" t="s">
        <v>463</v>
      </c>
      <c r="D44" s="904">
        <f t="shared" si="0"/>
        <v>0</v>
      </c>
      <c r="E44" s="743">
        <f t="shared" si="2"/>
        <v>36</v>
      </c>
    </row>
    <row r="45" spans="1:5">
      <c r="A45" s="743">
        <f t="shared" si="1"/>
        <v>37</v>
      </c>
      <c r="B45" s="747">
        <v>9124500</v>
      </c>
      <c r="C45" s="748" t="s">
        <v>464</v>
      </c>
      <c r="D45" s="904">
        <f t="shared" si="0"/>
        <v>0</v>
      </c>
      <c r="E45" s="743">
        <f t="shared" si="2"/>
        <v>37</v>
      </c>
    </row>
    <row r="46" spans="1:5">
      <c r="A46" s="743">
        <f t="shared" si="1"/>
        <v>38</v>
      </c>
      <c r="B46" s="747">
        <v>9124600</v>
      </c>
      <c r="C46" s="748" t="s">
        <v>465</v>
      </c>
      <c r="D46" s="904">
        <f t="shared" si="0"/>
        <v>0</v>
      </c>
      <c r="E46" s="743">
        <f t="shared" si="2"/>
        <v>38</v>
      </c>
    </row>
    <row r="47" spans="1:5">
      <c r="A47" s="743">
        <f t="shared" si="1"/>
        <v>39</v>
      </c>
      <c r="B47" s="747">
        <v>9124900</v>
      </c>
      <c r="C47" s="748" t="s">
        <v>466</v>
      </c>
      <c r="D47" s="904">
        <f t="shared" si="0"/>
        <v>0</v>
      </c>
      <c r="E47" s="743">
        <f t="shared" si="2"/>
        <v>39</v>
      </c>
    </row>
    <row r="48" spans="1:5">
      <c r="A48" s="743">
        <f t="shared" si="1"/>
        <v>40</v>
      </c>
      <c r="B48" s="747">
        <v>9131150</v>
      </c>
      <c r="C48" s="748" t="s">
        <v>467</v>
      </c>
      <c r="D48" s="904">
        <f t="shared" si="0"/>
        <v>0</v>
      </c>
      <c r="E48" s="743">
        <f t="shared" si="2"/>
        <v>40</v>
      </c>
    </row>
    <row r="49" spans="1:5">
      <c r="A49" s="743">
        <f t="shared" si="1"/>
        <v>41</v>
      </c>
      <c r="B49" s="747">
        <v>9131700</v>
      </c>
      <c r="C49" s="748" t="s">
        <v>468</v>
      </c>
      <c r="D49" s="904">
        <f t="shared" si="0"/>
        <v>0</v>
      </c>
      <c r="E49" s="743">
        <f t="shared" si="2"/>
        <v>41</v>
      </c>
    </row>
    <row r="50" spans="1:5">
      <c r="A50" s="743">
        <f t="shared" si="1"/>
        <v>42</v>
      </c>
      <c r="B50" s="747">
        <v>9131850</v>
      </c>
      <c r="C50" s="748" t="s">
        <v>469</v>
      </c>
      <c r="D50" s="904">
        <f t="shared" si="0"/>
        <v>0</v>
      </c>
      <c r="E50" s="743">
        <f t="shared" si="2"/>
        <v>42</v>
      </c>
    </row>
    <row r="51" spans="1:5">
      <c r="A51" s="743">
        <f t="shared" si="1"/>
        <v>43</v>
      </c>
      <c r="B51" s="747">
        <v>9131860</v>
      </c>
      <c r="C51" s="748" t="s">
        <v>470</v>
      </c>
      <c r="D51" s="904">
        <f t="shared" si="0"/>
        <v>0</v>
      </c>
      <c r="E51" s="743">
        <f t="shared" si="2"/>
        <v>43</v>
      </c>
    </row>
    <row r="52" spans="1:5">
      <c r="A52" s="743">
        <f t="shared" si="1"/>
        <v>44</v>
      </c>
      <c r="B52" s="747">
        <v>9132150</v>
      </c>
      <c r="C52" s="748" t="s">
        <v>471</v>
      </c>
      <c r="D52" s="904">
        <f t="shared" si="0"/>
        <v>0</v>
      </c>
      <c r="E52" s="743">
        <f t="shared" si="2"/>
        <v>44</v>
      </c>
    </row>
    <row r="53" spans="1:5">
      <c r="A53" s="743">
        <f t="shared" si="1"/>
        <v>45</v>
      </c>
      <c r="B53" s="747">
        <v>9132700</v>
      </c>
      <c r="C53" s="748" t="s">
        <v>472</v>
      </c>
      <c r="D53" s="904">
        <f t="shared" si="0"/>
        <v>0</v>
      </c>
      <c r="E53" s="743">
        <f t="shared" si="2"/>
        <v>45</v>
      </c>
    </row>
    <row r="54" spans="1:5">
      <c r="A54" s="743">
        <f t="shared" si="1"/>
        <v>46</v>
      </c>
      <c r="B54" s="1190">
        <v>9132850</v>
      </c>
      <c r="C54" s="1159" t="s">
        <v>473</v>
      </c>
      <c r="D54" s="1160">
        <f t="shared" si="0"/>
        <v>0</v>
      </c>
      <c r="E54" s="743">
        <f t="shared" si="2"/>
        <v>46</v>
      </c>
    </row>
    <row r="55" spans="1:5">
      <c r="A55" s="743">
        <f t="shared" si="1"/>
        <v>47</v>
      </c>
      <c r="B55" s="749"/>
      <c r="C55" s="750"/>
      <c r="D55" s="985"/>
      <c r="E55" s="743">
        <f t="shared" si="2"/>
        <v>47</v>
      </c>
    </row>
    <row r="56" spans="1:5" ht="19.5" thickBot="1">
      <c r="A56" s="743">
        <f t="shared" si="1"/>
        <v>48</v>
      </c>
      <c r="B56" s="751" t="s">
        <v>474</v>
      </c>
      <c r="C56" s="752"/>
      <c r="D56" s="753">
        <f>SUM(D9:D54)</f>
        <v>0</v>
      </c>
      <c r="E56" s="743">
        <f t="shared" si="2"/>
        <v>48</v>
      </c>
    </row>
    <row r="57" spans="1:5" ht="17.25" thickTop="1" thickBot="1">
      <c r="A57" s="743">
        <f t="shared" si="1"/>
        <v>49</v>
      </c>
      <c r="B57" s="754"/>
      <c r="C57" s="755"/>
      <c r="D57" s="756"/>
      <c r="E57" s="743">
        <f t="shared" si="2"/>
        <v>49</v>
      </c>
    </row>
    <row r="58" spans="1:5">
      <c r="D58" s="758"/>
    </row>
    <row r="59" spans="1:5">
      <c r="D59" s="758"/>
    </row>
    <row r="60" spans="1:5" ht="18.75">
      <c r="A60" s="759">
        <v>1</v>
      </c>
      <c r="B60" s="760" t="s">
        <v>475</v>
      </c>
      <c r="C60" s="760"/>
    </row>
    <row r="61" spans="1:5" ht="18.75">
      <c r="A61" s="759"/>
      <c r="B61" s="760" t="s">
        <v>476</v>
      </c>
      <c r="C61" s="760"/>
    </row>
    <row r="62" spans="1:5" ht="18.75">
      <c r="A62" s="759">
        <v>2</v>
      </c>
      <c r="B62" s="760" t="s">
        <v>893</v>
      </c>
      <c r="C62" s="760"/>
    </row>
    <row r="64" spans="1:5">
      <c r="C64" s="110"/>
    </row>
    <row r="65" spans="3:3">
      <c r="C65" s="760"/>
    </row>
    <row r="66" spans="3:3">
      <c r="C66" s="760"/>
    </row>
    <row r="67" spans="3:3">
      <c r="C67" s="760"/>
    </row>
  </sheetData>
  <mergeCells count="4">
    <mergeCell ref="B2:D2"/>
    <mergeCell ref="B3:D3"/>
    <mergeCell ref="B4:D4"/>
    <mergeCell ref="B5:D5"/>
  </mergeCells>
  <printOptions horizontalCentered="1"/>
  <pageMargins left="0.5" right="0.5" top="0.5" bottom="0.5" header="0.25" footer="0.25"/>
  <pageSetup scale="75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427"/>
  <sheetViews>
    <sheetView zoomScale="80" zoomScaleNormal="80" zoomScalePageLayoutView="90" workbookViewId="0">
      <selection activeCell="E73" sqref="E73"/>
    </sheetView>
  </sheetViews>
  <sheetFormatPr defaultColWidth="13.42578125" defaultRowHeight="15.75"/>
  <cols>
    <col min="1" max="1" width="5.140625" style="216" customWidth="1"/>
    <col min="2" max="2" width="8.5703125" style="235" customWidth="1"/>
    <col min="3" max="3" width="66.5703125" style="216" customWidth="1"/>
    <col min="4" max="4" width="16.5703125" style="216" customWidth="1"/>
    <col min="5" max="5" width="16.5703125" style="164" customWidth="1"/>
    <col min="6" max="6" width="17.42578125" style="216" bestFit="1" customWidth="1"/>
    <col min="7" max="7" width="50.42578125" style="216" customWidth="1"/>
    <col min="8" max="8" width="5.140625" style="216" customWidth="1"/>
    <col min="9" max="16384" width="13.42578125" style="216"/>
  </cols>
  <sheetData>
    <row r="1" spans="1:11">
      <c r="A1" s="237"/>
    </row>
    <row r="2" spans="1:11" s="237" customFormat="1">
      <c r="B2" s="1281" t="s">
        <v>0</v>
      </c>
      <c r="C2" s="1281"/>
      <c r="D2" s="1281"/>
      <c r="E2" s="1281"/>
      <c r="F2" s="1281"/>
      <c r="G2" s="1281"/>
      <c r="H2" s="551"/>
    </row>
    <row r="3" spans="1:11" s="237" customFormat="1">
      <c r="B3" s="1281" t="s">
        <v>477</v>
      </c>
      <c r="C3" s="1281"/>
      <c r="D3" s="1281"/>
      <c r="E3" s="1281"/>
      <c r="F3" s="1281"/>
      <c r="G3" s="1281"/>
      <c r="H3" s="236"/>
    </row>
    <row r="4" spans="1:11" s="237" customFormat="1">
      <c r="B4" s="1281" t="str">
        <f>" 12 Months Ending December 31, "&amp;Automation!$B$3</f>
        <v xml:space="preserve"> 12 Months Ending December 31, 2024</v>
      </c>
      <c r="C4" s="1281"/>
      <c r="D4" s="1281"/>
      <c r="E4" s="1281"/>
      <c r="F4" s="1281"/>
      <c r="G4" s="1281"/>
      <c r="H4" s="236"/>
    </row>
    <row r="5" spans="1:11" s="237" customFormat="1">
      <c r="B5" s="1279" t="s">
        <v>3</v>
      </c>
      <c r="C5" s="1279"/>
      <c r="D5" s="1279"/>
      <c r="E5" s="1279"/>
      <c r="F5" s="1279"/>
      <c r="G5" s="1279"/>
      <c r="H5" s="236"/>
    </row>
    <row r="6" spans="1:11" ht="16.5" thickBot="1">
      <c r="A6" s="238"/>
      <c r="B6" s="239"/>
      <c r="C6" s="240"/>
      <c r="D6" s="240"/>
      <c r="E6" s="241"/>
      <c r="F6" s="240"/>
      <c r="G6" s="240"/>
      <c r="H6" s="240"/>
      <c r="J6"/>
    </row>
    <row r="7" spans="1:11" s="237" customFormat="1">
      <c r="A7" s="216"/>
      <c r="B7" s="242"/>
      <c r="C7" s="243"/>
      <c r="D7" s="244" t="s">
        <v>77</v>
      </c>
      <c r="E7" s="245" t="s">
        <v>78</v>
      </c>
      <c r="F7" s="244" t="s">
        <v>889</v>
      </c>
      <c r="G7" s="246"/>
      <c r="H7" s="216"/>
    </row>
    <row r="8" spans="1:11" s="237" customFormat="1">
      <c r="A8" s="247" t="s">
        <v>4</v>
      </c>
      <c r="B8" s="248" t="s">
        <v>375</v>
      </c>
      <c r="D8" s="249" t="s">
        <v>80</v>
      </c>
      <c r="E8" s="249" t="s">
        <v>478</v>
      </c>
      <c r="F8" s="249" t="s">
        <v>80</v>
      </c>
      <c r="G8" s="250"/>
      <c r="H8" s="247" t="s">
        <v>4</v>
      </c>
    </row>
    <row r="9" spans="1:11" s="237" customFormat="1">
      <c r="A9" s="247" t="s">
        <v>5</v>
      </c>
      <c r="B9" s="1191" t="s">
        <v>479</v>
      </c>
      <c r="C9" s="986" t="s">
        <v>261</v>
      </c>
      <c r="D9" s="987" t="s">
        <v>480</v>
      </c>
      <c r="E9" s="987" t="s">
        <v>481</v>
      </c>
      <c r="F9" s="987" t="s">
        <v>482</v>
      </c>
      <c r="G9" s="988" t="s">
        <v>8</v>
      </c>
      <c r="H9" s="247" t="s">
        <v>5</v>
      </c>
    </row>
    <row r="10" spans="1:11" s="237" customFormat="1">
      <c r="A10" s="247"/>
      <c r="B10" s="251"/>
      <c r="C10" s="252" t="s">
        <v>483</v>
      </c>
      <c r="D10" s="253"/>
      <c r="E10" s="253"/>
      <c r="F10" s="253"/>
      <c r="G10" s="254"/>
      <c r="H10" s="247"/>
      <c r="J10" s="216"/>
      <c r="K10" s="216"/>
    </row>
    <row r="11" spans="1:11" s="237" customFormat="1">
      <c r="A11" s="247">
        <v>1</v>
      </c>
      <c r="B11" s="255">
        <v>560</v>
      </c>
      <c r="C11" s="216" t="s">
        <v>484</v>
      </c>
      <c r="D11" s="176">
        <v>14899.625</v>
      </c>
      <c r="E11" s="176">
        <f>E51</f>
        <v>111.42700000000001</v>
      </c>
      <c r="F11" s="176">
        <f>D11-E11</f>
        <v>14788.198</v>
      </c>
      <c r="G11" s="256" t="s">
        <v>930</v>
      </c>
      <c r="H11" s="247">
        <f>A11</f>
        <v>1</v>
      </c>
      <c r="J11" s="216"/>
      <c r="K11" s="216"/>
    </row>
    <row r="12" spans="1:11" s="237" customFormat="1">
      <c r="A12" s="247">
        <f>A11+1</f>
        <v>2</v>
      </c>
      <c r="B12" s="255">
        <v>561.1</v>
      </c>
      <c r="C12" s="216" t="s">
        <v>485</v>
      </c>
      <c r="D12" s="178">
        <v>550.62</v>
      </c>
      <c r="E12" s="178">
        <v>0</v>
      </c>
      <c r="F12" s="178">
        <f>D12-E12</f>
        <v>550.62</v>
      </c>
      <c r="G12" s="256" t="s">
        <v>931</v>
      </c>
      <c r="H12" s="247">
        <f>H11+1</f>
        <v>2</v>
      </c>
      <c r="J12" s="216"/>
      <c r="K12" s="216"/>
    </row>
    <row r="13" spans="1:11" s="237" customFormat="1">
      <c r="A13" s="247">
        <f t="shared" ref="A13:A74" si="0">A12+1</f>
        <v>3</v>
      </c>
      <c r="B13" s="255">
        <v>561.20000000000005</v>
      </c>
      <c r="C13" s="216" t="s">
        <v>486</v>
      </c>
      <c r="D13" s="178">
        <v>1670.373</v>
      </c>
      <c r="E13" s="178">
        <v>0</v>
      </c>
      <c r="F13" s="178">
        <f t="shared" ref="F13:F24" si="1">D13-E13</f>
        <v>1670.373</v>
      </c>
      <c r="G13" s="256" t="s">
        <v>932</v>
      </c>
      <c r="H13" s="247">
        <f t="shared" ref="H13:H74" si="2">H12+1</f>
        <v>3</v>
      </c>
      <c r="J13" s="216"/>
      <c r="K13" s="216"/>
    </row>
    <row r="14" spans="1:11" s="237" customFormat="1">
      <c r="A14" s="247">
        <f t="shared" si="0"/>
        <v>4</v>
      </c>
      <c r="B14" s="255">
        <v>561.29999999999995</v>
      </c>
      <c r="C14" s="216" t="s">
        <v>487</v>
      </c>
      <c r="D14" s="178">
        <v>336.48899999999998</v>
      </c>
      <c r="E14" s="178">
        <v>0</v>
      </c>
      <c r="F14" s="178">
        <f t="shared" si="1"/>
        <v>336.48899999999998</v>
      </c>
      <c r="G14" s="256" t="s">
        <v>933</v>
      </c>
      <c r="H14" s="247">
        <f t="shared" si="2"/>
        <v>4</v>
      </c>
      <c r="J14" s="216"/>
      <c r="K14" s="216"/>
    </row>
    <row r="15" spans="1:11" s="237" customFormat="1">
      <c r="A15" s="247">
        <f t="shared" si="0"/>
        <v>5</v>
      </c>
      <c r="B15" s="255">
        <v>561.4</v>
      </c>
      <c r="C15" s="216" t="s">
        <v>488</v>
      </c>
      <c r="D15" s="178">
        <v>2808.0160000000001</v>
      </c>
      <c r="E15" s="178">
        <f>E52</f>
        <v>2802.2510600000001</v>
      </c>
      <c r="F15" s="178">
        <f t="shared" si="1"/>
        <v>5.7649400000000242</v>
      </c>
      <c r="G15" s="256" t="s">
        <v>934</v>
      </c>
      <c r="H15" s="247">
        <f t="shared" si="2"/>
        <v>5</v>
      </c>
      <c r="J15" s="216"/>
      <c r="K15" s="216"/>
    </row>
    <row r="16" spans="1:11" s="237" customFormat="1">
      <c r="A16" s="247">
        <f t="shared" si="0"/>
        <v>6</v>
      </c>
      <c r="B16" s="255">
        <v>561.5</v>
      </c>
      <c r="C16" s="216" t="s">
        <v>489</v>
      </c>
      <c r="D16" s="178">
        <v>97.528999999999996</v>
      </c>
      <c r="E16" s="178">
        <v>0</v>
      </c>
      <c r="F16" s="178">
        <f t="shared" si="1"/>
        <v>97.528999999999996</v>
      </c>
      <c r="G16" s="256" t="s">
        <v>935</v>
      </c>
      <c r="H16" s="247">
        <f t="shared" si="2"/>
        <v>6</v>
      </c>
      <c r="J16" s="216"/>
      <c r="K16" s="216"/>
    </row>
    <row r="17" spans="1:11" s="237" customFormat="1">
      <c r="A17" s="247">
        <f t="shared" si="0"/>
        <v>7</v>
      </c>
      <c r="B17" s="255">
        <v>561.6</v>
      </c>
      <c r="C17" s="216" t="s">
        <v>490</v>
      </c>
      <c r="D17" s="178">
        <v>0.501</v>
      </c>
      <c r="E17" s="178">
        <v>0</v>
      </c>
      <c r="F17" s="178">
        <f t="shared" si="1"/>
        <v>0.501</v>
      </c>
      <c r="G17" s="256" t="s">
        <v>936</v>
      </c>
      <c r="H17" s="247">
        <f t="shared" si="2"/>
        <v>7</v>
      </c>
      <c r="J17" s="216"/>
      <c r="K17" s="216"/>
    </row>
    <row r="18" spans="1:11" s="237" customFormat="1">
      <c r="A18" s="247">
        <f t="shared" si="0"/>
        <v>8</v>
      </c>
      <c r="B18" s="255">
        <v>561.70000000000005</v>
      </c>
      <c r="C18" s="216" t="s">
        <v>491</v>
      </c>
      <c r="D18" s="178">
        <v>0</v>
      </c>
      <c r="E18" s="178">
        <v>0</v>
      </c>
      <c r="F18" s="178">
        <f t="shared" si="1"/>
        <v>0</v>
      </c>
      <c r="G18" s="1236" t="s">
        <v>937</v>
      </c>
      <c r="H18" s="247">
        <f t="shared" si="2"/>
        <v>8</v>
      </c>
      <c r="J18" s="216"/>
      <c r="K18" s="216"/>
    </row>
    <row r="19" spans="1:11" s="237" customFormat="1">
      <c r="A19" s="247">
        <f t="shared" si="0"/>
        <v>9</v>
      </c>
      <c r="B19" s="255">
        <v>561.79999999999995</v>
      </c>
      <c r="C19" s="216" t="s">
        <v>492</v>
      </c>
      <c r="D19" s="178">
        <v>2518.8560000000002</v>
      </c>
      <c r="E19" s="178">
        <f>E53</f>
        <v>1516.30691</v>
      </c>
      <c r="F19" s="178">
        <f t="shared" si="1"/>
        <v>1002.5490900000002</v>
      </c>
      <c r="G19" s="1236" t="s">
        <v>938</v>
      </c>
      <c r="H19" s="247">
        <f t="shared" si="2"/>
        <v>9</v>
      </c>
      <c r="J19" s="216"/>
      <c r="K19" s="216"/>
    </row>
    <row r="20" spans="1:11" s="237" customFormat="1" ht="18.75">
      <c r="A20" s="247">
        <f t="shared" si="0"/>
        <v>10</v>
      </c>
      <c r="B20" s="255">
        <v>562</v>
      </c>
      <c r="C20" s="216" t="s">
        <v>493</v>
      </c>
      <c r="D20" s="178">
        <v>11762.996999999999</v>
      </c>
      <c r="E20" s="178">
        <f>E54</f>
        <v>11762.996999999999</v>
      </c>
      <c r="F20" s="178">
        <f t="shared" si="1"/>
        <v>0</v>
      </c>
      <c r="G20" s="1236" t="s">
        <v>939</v>
      </c>
      <c r="H20" s="247">
        <f t="shared" si="2"/>
        <v>10</v>
      </c>
      <c r="I20" s="664"/>
      <c r="J20" s="464"/>
      <c r="K20" s="216"/>
    </row>
    <row r="21" spans="1:11" s="237" customFormat="1" ht="18.75">
      <c r="A21" s="247">
        <f t="shared" si="0"/>
        <v>11</v>
      </c>
      <c r="B21" s="255">
        <v>563</v>
      </c>
      <c r="C21" s="216" t="s">
        <v>910</v>
      </c>
      <c r="D21" s="178">
        <v>10628.251</v>
      </c>
      <c r="E21" s="178">
        <f>E55</f>
        <v>10628.251</v>
      </c>
      <c r="F21" s="178">
        <f t="shared" si="1"/>
        <v>0</v>
      </c>
      <c r="G21" s="1236" t="s">
        <v>940</v>
      </c>
      <c r="H21" s="247">
        <f t="shared" si="2"/>
        <v>11</v>
      </c>
      <c r="I21" s="665"/>
      <c r="J21" s="464"/>
      <c r="K21" s="216"/>
    </row>
    <row r="22" spans="1:11" s="237" customFormat="1">
      <c r="A22" s="247">
        <f t="shared" si="0"/>
        <v>12</v>
      </c>
      <c r="B22" s="255">
        <v>564</v>
      </c>
      <c r="C22" s="216" t="s">
        <v>494</v>
      </c>
      <c r="D22" s="178">
        <v>16.190999999999999</v>
      </c>
      <c r="E22" s="178">
        <v>0</v>
      </c>
      <c r="F22" s="178">
        <f t="shared" si="1"/>
        <v>16.190999999999999</v>
      </c>
      <c r="G22" s="1236" t="s">
        <v>941</v>
      </c>
      <c r="H22" s="247">
        <f t="shared" si="2"/>
        <v>12</v>
      </c>
      <c r="J22" s="464"/>
      <c r="K22" s="216"/>
    </row>
    <row r="23" spans="1:11" s="237" customFormat="1">
      <c r="A23" s="247">
        <f t="shared" si="0"/>
        <v>13</v>
      </c>
      <c r="B23" s="255">
        <v>565</v>
      </c>
      <c r="C23" s="216" t="s">
        <v>495</v>
      </c>
      <c r="D23" s="178">
        <v>0</v>
      </c>
      <c r="E23" s="178">
        <f>E56</f>
        <v>0</v>
      </c>
      <c r="F23" s="178">
        <f t="shared" si="1"/>
        <v>0</v>
      </c>
      <c r="G23" s="1236" t="s">
        <v>942</v>
      </c>
      <c r="H23" s="247">
        <f t="shared" si="2"/>
        <v>13</v>
      </c>
      <c r="J23" s="164"/>
      <c r="K23" s="216"/>
    </row>
    <row r="24" spans="1:11" s="237" customFormat="1">
      <c r="A24" s="247">
        <f t="shared" si="0"/>
        <v>14</v>
      </c>
      <c r="B24" s="255">
        <v>566</v>
      </c>
      <c r="C24" s="216" t="s">
        <v>496</v>
      </c>
      <c r="D24" s="178">
        <v>30077.253000000001</v>
      </c>
      <c r="E24" s="178">
        <f>E62</f>
        <v>13147.83533</v>
      </c>
      <c r="F24" s="178">
        <f t="shared" si="1"/>
        <v>16929.417670000003</v>
      </c>
      <c r="G24" s="1236" t="s">
        <v>943</v>
      </c>
      <c r="H24" s="247">
        <f t="shared" si="2"/>
        <v>14</v>
      </c>
      <c r="J24" s="164"/>
      <c r="K24" s="216"/>
    </row>
    <row r="25" spans="1:11" s="237" customFormat="1">
      <c r="A25" s="247">
        <f t="shared" si="0"/>
        <v>15</v>
      </c>
      <c r="B25" s="255">
        <v>567</v>
      </c>
      <c r="C25" s="216" t="s">
        <v>497</v>
      </c>
      <c r="D25" s="989">
        <v>5368.62</v>
      </c>
      <c r="E25" s="989">
        <v>0</v>
      </c>
      <c r="F25" s="989">
        <f>D25-E25</f>
        <v>5368.62</v>
      </c>
      <c r="G25" s="1236" t="s">
        <v>944</v>
      </c>
      <c r="H25" s="247">
        <f t="shared" si="2"/>
        <v>15</v>
      </c>
      <c r="J25" s="164"/>
      <c r="K25" s="216"/>
    </row>
    <row r="26" spans="1:11" s="237" customFormat="1">
      <c r="A26" s="247">
        <f t="shared" si="0"/>
        <v>16</v>
      </c>
      <c r="B26" s="255"/>
      <c r="C26" s="216"/>
      <c r="D26" s="178"/>
      <c r="E26" s="178"/>
      <c r="F26" s="178"/>
      <c r="G26" s="256"/>
      <c r="H26" s="247">
        <f t="shared" si="2"/>
        <v>16</v>
      </c>
      <c r="J26" s="164"/>
      <c r="K26" s="216"/>
    </row>
    <row r="27" spans="1:11" s="237" customFormat="1" ht="16.5" thickBot="1">
      <c r="A27" s="247">
        <f t="shared" si="0"/>
        <v>17</v>
      </c>
      <c r="B27" s="1260"/>
      <c r="C27" s="1261" t="s">
        <v>498</v>
      </c>
      <c r="D27" s="258">
        <f>SUM(D11:D25)</f>
        <v>80735.320999999996</v>
      </c>
      <c r="E27" s="258">
        <f>SUM(E11:E25)</f>
        <v>39969.068299999999</v>
      </c>
      <c r="F27" s="258">
        <f>SUM(F11:F25)</f>
        <v>40766.252700000005</v>
      </c>
      <c r="G27" s="259" t="str">
        <f>"Sum Lines "&amp;A11&amp;" thru "&amp;A25</f>
        <v>Sum Lines 1 thru 15</v>
      </c>
      <c r="H27" s="247">
        <f t="shared" si="2"/>
        <v>17</v>
      </c>
      <c r="J27" s="907"/>
      <c r="K27" s="216"/>
    </row>
    <row r="28" spans="1:11" s="237" customFormat="1">
      <c r="A28" s="247">
        <f t="shared" si="0"/>
        <v>18</v>
      </c>
      <c r="B28" s="260"/>
      <c r="C28" s="216"/>
      <c r="D28" s="261"/>
      <c r="E28" s="261"/>
      <c r="F28" s="261"/>
      <c r="G28" s="916"/>
      <c r="H28" s="247">
        <f t="shared" si="2"/>
        <v>18</v>
      </c>
      <c r="J28" s="907"/>
      <c r="K28" s="216"/>
    </row>
    <row r="29" spans="1:11" s="237" customFormat="1">
      <c r="A29" s="247">
        <f t="shared" si="0"/>
        <v>19</v>
      </c>
      <c r="B29" s="251"/>
      <c r="C29" s="252" t="s">
        <v>499</v>
      </c>
      <c r="D29" s="261"/>
      <c r="E29" s="261"/>
      <c r="F29" s="261"/>
      <c r="G29" s="916"/>
      <c r="H29" s="247">
        <f t="shared" si="2"/>
        <v>19</v>
      </c>
      <c r="J29" s="216"/>
      <c r="K29" s="216"/>
    </row>
    <row r="30" spans="1:11" s="237" customFormat="1">
      <c r="A30" s="247">
        <f t="shared" si="0"/>
        <v>20</v>
      </c>
      <c r="B30" s="255">
        <v>568</v>
      </c>
      <c r="C30" s="216" t="s">
        <v>500</v>
      </c>
      <c r="D30" s="176">
        <v>2651.9639999999999</v>
      </c>
      <c r="E30" s="176">
        <v>0</v>
      </c>
      <c r="F30" s="176">
        <f t="shared" ref="F30:F31" si="3">D30-E30</f>
        <v>2651.9639999999999</v>
      </c>
      <c r="G30" s="1236" t="s">
        <v>945</v>
      </c>
      <c r="H30" s="247">
        <f t="shared" si="2"/>
        <v>20</v>
      </c>
      <c r="J30" s="216"/>
      <c r="K30" s="216"/>
    </row>
    <row r="31" spans="1:11" s="237" customFormat="1">
      <c r="A31" s="247">
        <f t="shared" si="0"/>
        <v>21</v>
      </c>
      <c r="B31" s="255">
        <v>569</v>
      </c>
      <c r="C31" s="216" t="s">
        <v>501</v>
      </c>
      <c r="D31" s="178">
        <v>892.56600000000003</v>
      </c>
      <c r="E31" s="178">
        <v>0</v>
      </c>
      <c r="F31" s="178">
        <f t="shared" si="3"/>
        <v>892.56600000000003</v>
      </c>
      <c r="G31" s="1236" t="s">
        <v>946</v>
      </c>
      <c r="H31" s="247">
        <f t="shared" si="2"/>
        <v>21</v>
      </c>
      <c r="J31" s="216"/>
      <c r="K31" s="216"/>
    </row>
    <row r="32" spans="1:11" s="237" customFormat="1">
      <c r="A32" s="247">
        <f t="shared" si="0"/>
        <v>22</v>
      </c>
      <c r="B32" s="255">
        <v>569.1</v>
      </c>
      <c r="C32" s="216" t="s">
        <v>502</v>
      </c>
      <c r="D32" s="178">
        <v>1373.5160000000001</v>
      </c>
      <c r="E32" s="178">
        <v>0</v>
      </c>
      <c r="F32" s="178">
        <f>D32-E32</f>
        <v>1373.5160000000001</v>
      </c>
      <c r="G32" s="1236" t="s">
        <v>947</v>
      </c>
      <c r="H32" s="247">
        <f t="shared" si="2"/>
        <v>22</v>
      </c>
      <c r="J32" s="216"/>
      <c r="K32" s="216"/>
    </row>
    <row r="33" spans="1:11" s="237" customFormat="1">
      <c r="A33" s="247">
        <f t="shared" si="0"/>
        <v>23</v>
      </c>
      <c r="B33" s="255">
        <v>569.20000000000005</v>
      </c>
      <c r="C33" s="216" t="s">
        <v>503</v>
      </c>
      <c r="D33" s="178">
        <v>3440.28</v>
      </c>
      <c r="E33" s="178">
        <v>0</v>
      </c>
      <c r="F33" s="178">
        <f t="shared" ref="F33:F35" si="4">D33-E33</f>
        <v>3440.28</v>
      </c>
      <c r="G33" s="1236" t="s">
        <v>948</v>
      </c>
      <c r="H33" s="247">
        <f t="shared" si="2"/>
        <v>23</v>
      </c>
      <c r="J33" s="216"/>
      <c r="K33" s="216"/>
    </row>
    <row r="34" spans="1:11" s="237" customFormat="1">
      <c r="A34" s="247">
        <f t="shared" si="0"/>
        <v>24</v>
      </c>
      <c r="B34" s="255">
        <v>569.29999999999995</v>
      </c>
      <c r="C34" s="216" t="s">
        <v>504</v>
      </c>
      <c r="D34" s="178">
        <v>0</v>
      </c>
      <c r="E34" s="178">
        <v>0</v>
      </c>
      <c r="F34" s="178">
        <f t="shared" si="4"/>
        <v>0</v>
      </c>
      <c r="G34" s="1236" t="s">
        <v>949</v>
      </c>
      <c r="H34" s="247">
        <f t="shared" si="2"/>
        <v>24</v>
      </c>
      <c r="J34" s="216"/>
      <c r="K34" s="216"/>
    </row>
    <row r="35" spans="1:11" s="237" customFormat="1">
      <c r="A35" s="247">
        <f t="shared" si="0"/>
        <v>25</v>
      </c>
      <c r="B35" s="255">
        <v>569.4</v>
      </c>
      <c r="C35" s="216" t="s">
        <v>505</v>
      </c>
      <c r="D35" s="178">
        <v>112.395</v>
      </c>
      <c r="E35" s="178">
        <v>0</v>
      </c>
      <c r="F35" s="178">
        <f t="shared" si="4"/>
        <v>112.395</v>
      </c>
      <c r="G35" s="1236" t="s">
        <v>950</v>
      </c>
      <c r="H35" s="247">
        <f t="shared" si="2"/>
        <v>25</v>
      </c>
      <c r="J35" s="216"/>
      <c r="K35" s="216"/>
    </row>
    <row r="36" spans="1:11" s="237" customFormat="1" ht="18.75">
      <c r="A36" s="247">
        <f t="shared" si="0"/>
        <v>26</v>
      </c>
      <c r="B36" s="255">
        <v>570</v>
      </c>
      <c r="C36" s="216" t="s">
        <v>524</v>
      </c>
      <c r="D36" s="178">
        <v>21615.627</v>
      </c>
      <c r="E36" s="178">
        <f>E63</f>
        <v>21615.627</v>
      </c>
      <c r="F36" s="178">
        <f>D36-E36</f>
        <v>0</v>
      </c>
      <c r="G36" s="1236" t="s">
        <v>951</v>
      </c>
      <c r="H36" s="247">
        <f t="shared" si="2"/>
        <v>26</v>
      </c>
      <c r="J36" s="216"/>
      <c r="K36" s="216"/>
    </row>
    <row r="37" spans="1:11" s="237" customFormat="1" ht="18.75">
      <c r="A37" s="247">
        <f t="shared" si="0"/>
        <v>27</v>
      </c>
      <c r="B37" s="255">
        <v>571</v>
      </c>
      <c r="C37" s="216" t="s">
        <v>525</v>
      </c>
      <c r="D37" s="178">
        <v>36071.786999999997</v>
      </c>
      <c r="E37" s="178">
        <f>E64</f>
        <v>36071.786999999997</v>
      </c>
      <c r="F37" s="178">
        <f t="shared" ref="F37:F38" si="5">D37-E37</f>
        <v>0</v>
      </c>
      <c r="G37" s="1236" t="s">
        <v>952</v>
      </c>
      <c r="H37" s="247">
        <f t="shared" si="2"/>
        <v>27</v>
      </c>
      <c r="J37" s="216"/>
      <c r="K37" s="216"/>
    </row>
    <row r="38" spans="1:11" s="237" customFormat="1" ht="18.75">
      <c r="A38" s="247">
        <f t="shared" si="0"/>
        <v>28</v>
      </c>
      <c r="B38" s="255">
        <v>572</v>
      </c>
      <c r="C38" s="216" t="s">
        <v>506</v>
      </c>
      <c r="D38" s="178">
        <v>1151.414</v>
      </c>
      <c r="E38" s="178">
        <f>E65</f>
        <v>1151.414</v>
      </c>
      <c r="F38" s="178">
        <f t="shared" si="5"/>
        <v>0</v>
      </c>
      <c r="G38" s="256" t="s">
        <v>953</v>
      </c>
      <c r="H38" s="247">
        <f t="shared" si="2"/>
        <v>28</v>
      </c>
      <c r="J38" s="216"/>
      <c r="K38" s="216"/>
    </row>
    <row r="39" spans="1:11" s="237" customFormat="1">
      <c r="A39" s="247">
        <f t="shared" si="0"/>
        <v>29</v>
      </c>
      <c r="B39" s="255">
        <v>573</v>
      </c>
      <c r="C39" s="216" t="s">
        <v>507</v>
      </c>
      <c r="D39" s="989">
        <v>59.027999999999999</v>
      </c>
      <c r="E39" s="989">
        <v>0</v>
      </c>
      <c r="F39" s="989">
        <f>D39-E39</f>
        <v>59.027999999999999</v>
      </c>
      <c r="G39" s="256" t="s">
        <v>954</v>
      </c>
      <c r="H39" s="247">
        <f t="shared" si="2"/>
        <v>29</v>
      </c>
      <c r="J39" s="216"/>
      <c r="K39" s="216"/>
    </row>
    <row r="40" spans="1:11" s="237" customFormat="1">
      <c r="A40" s="247">
        <f t="shared" si="0"/>
        <v>30</v>
      </c>
      <c r="B40" s="255"/>
      <c r="C40" s="216"/>
      <c r="D40" s="990"/>
      <c r="E40" s="178"/>
      <c r="F40" s="990"/>
      <c r="G40" s="256"/>
      <c r="H40" s="247">
        <f t="shared" si="2"/>
        <v>30</v>
      </c>
      <c r="J40" s="216"/>
      <c r="K40" s="216"/>
    </row>
    <row r="41" spans="1:11" s="237" customFormat="1">
      <c r="A41" s="247">
        <f t="shared" si="0"/>
        <v>31</v>
      </c>
      <c r="B41" s="260"/>
      <c r="C41" s="263" t="s">
        <v>508</v>
      </c>
      <c r="D41" s="176">
        <f>SUM(D30:D39)</f>
        <v>67368.577000000005</v>
      </c>
      <c r="E41" s="176">
        <f>SUM(E30:E39)</f>
        <v>58838.827999999994</v>
      </c>
      <c r="F41" s="176">
        <f>SUM(F30:F39)</f>
        <v>8529.7490000000016</v>
      </c>
      <c r="G41" s="256" t="str">
        <f>"Sum Lines "&amp;A30&amp;" thru "&amp;A39</f>
        <v>Sum Lines 20 thru 29</v>
      </c>
      <c r="H41" s="247">
        <f t="shared" si="2"/>
        <v>31</v>
      </c>
      <c r="J41" s="216"/>
      <c r="K41" s="216"/>
    </row>
    <row r="42" spans="1:11" s="237" customFormat="1">
      <c r="A42" s="247">
        <f t="shared" si="0"/>
        <v>32</v>
      </c>
      <c r="B42" s="260"/>
      <c r="C42" s="216"/>
      <c r="D42" s="991"/>
      <c r="E42" s="991"/>
      <c r="F42" s="991"/>
      <c r="G42" s="256"/>
      <c r="H42" s="247">
        <f t="shared" si="2"/>
        <v>32</v>
      </c>
      <c r="J42" s="216"/>
      <c r="K42" s="216"/>
    </row>
    <row r="43" spans="1:11" s="237" customFormat="1" ht="16.5" thickBot="1">
      <c r="A43" s="247">
        <f t="shared" si="0"/>
        <v>33</v>
      </c>
      <c r="B43" s="248"/>
      <c r="C43" s="237" t="s">
        <v>509</v>
      </c>
      <c r="D43" s="264">
        <f>D27+D41</f>
        <v>148103.89799999999</v>
      </c>
      <c r="E43" s="264">
        <f>+E27+E41</f>
        <v>98807.896299999993</v>
      </c>
      <c r="F43" s="264">
        <f>+F27+F41</f>
        <v>49296.001700000008</v>
      </c>
      <c r="G43" s="256" t="str">
        <f>"Line "&amp;A27&amp;" + Line "&amp;A41</f>
        <v>Line 17 + Line 31</v>
      </c>
      <c r="H43" s="247">
        <f t="shared" si="2"/>
        <v>33</v>
      </c>
      <c r="J43" s="907"/>
      <c r="K43" s="216"/>
    </row>
    <row r="44" spans="1:11" s="237" customFormat="1" ht="16.5" thickTop="1">
      <c r="A44" s="247">
        <f t="shared" si="0"/>
        <v>34</v>
      </c>
      <c r="B44" s="248"/>
      <c r="D44" s="276"/>
      <c r="E44" s="276"/>
      <c r="F44" s="276"/>
      <c r="G44" s="256"/>
      <c r="H44" s="247">
        <f t="shared" si="2"/>
        <v>34</v>
      </c>
      <c r="J44" s="907"/>
      <c r="K44" s="216"/>
    </row>
    <row r="45" spans="1:11" s="237" customFormat="1" ht="18.75">
      <c r="A45" s="247">
        <f t="shared" si="0"/>
        <v>35</v>
      </c>
      <c r="B45" s="255">
        <v>413</v>
      </c>
      <c r="C45" s="216" t="s">
        <v>510</v>
      </c>
      <c r="D45" s="989">
        <v>174.8424</v>
      </c>
      <c r="E45" s="989">
        <v>0</v>
      </c>
      <c r="F45" s="989">
        <f>D45-E45</f>
        <v>174.8424</v>
      </c>
      <c r="G45" s="313"/>
      <c r="H45" s="247">
        <f t="shared" si="2"/>
        <v>35</v>
      </c>
      <c r="J45" s="216"/>
      <c r="K45" s="216"/>
    </row>
    <row r="46" spans="1:11" s="237" customFormat="1">
      <c r="A46" s="247">
        <f t="shared" si="0"/>
        <v>36</v>
      </c>
      <c r="B46" s="248"/>
      <c r="D46" s="276"/>
      <c r="E46" s="276"/>
      <c r="F46" s="276"/>
      <c r="G46" s="256"/>
      <c r="H46" s="247">
        <f t="shared" si="2"/>
        <v>36</v>
      </c>
      <c r="J46" s="907"/>
      <c r="K46" s="216"/>
    </row>
    <row r="47" spans="1:11" s="237" customFormat="1" ht="16.5" thickBot="1">
      <c r="A47" s="247">
        <f t="shared" si="0"/>
        <v>37</v>
      </c>
      <c r="B47" s="248"/>
      <c r="C47" s="237" t="s">
        <v>511</v>
      </c>
      <c r="D47" s="264">
        <f>D43+D45</f>
        <v>148278.74039999998</v>
      </c>
      <c r="E47" s="264">
        <f>E43+E45</f>
        <v>98807.896299999993</v>
      </c>
      <c r="F47" s="264">
        <f>F43+F45</f>
        <v>49470.844100000009</v>
      </c>
      <c r="G47" s="256" t="str">
        <f>"Line "&amp;A43&amp;" + Line "&amp;A45</f>
        <v>Line 33 + Line 35</v>
      </c>
      <c r="H47" s="247">
        <f t="shared" si="2"/>
        <v>37</v>
      </c>
      <c r="J47" s="464"/>
      <c r="K47" s="216"/>
    </row>
    <row r="48" spans="1:11" ht="17.25" thickTop="1" thickBot="1">
      <c r="A48" s="247">
        <f t="shared" si="0"/>
        <v>38</v>
      </c>
      <c r="B48" s="265"/>
      <c r="C48" s="266"/>
      <c r="D48" s="267"/>
      <c r="E48" s="268"/>
      <c r="F48" s="267"/>
      <c r="G48" s="269"/>
      <c r="H48" s="247">
        <f t="shared" si="2"/>
        <v>38</v>
      </c>
      <c r="J48" s="664"/>
    </row>
    <row r="49" spans="1:10">
      <c r="A49" s="247">
        <f t="shared" si="0"/>
        <v>39</v>
      </c>
      <c r="B49" s="270"/>
      <c r="D49" s="271"/>
      <c r="E49" s="262"/>
      <c r="F49" s="271"/>
      <c r="G49" s="272"/>
      <c r="H49" s="247">
        <f t="shared" si="2"/>
        <v>39</v>
      </c>
      <c r="J49" s="664"/>
    </row>
    <row r="50" spans="1:10" s="3" customFormat="1">
      <c r="A50" s="247">
        <f t="shared" si="0"/>
        <v>40</v>
      </c>
      <c r="B50" s="278" t="s">
        <v>512</v>
      </c>
      <c r="D50" s="10"/>
      <c r="E50" s="9"/>
      <c r="F50" s="10"/>
      <c r="G50" s="283"/>
      <c r="H50" s="247">
        <f t="shared" si="2"/>
        <v>40</v>
      </c>
      <c r="J50" s="1203"/>
    </row>
    <row r="51" spans="1:10" s="3" customFormat="1">
      <c r="A51" s="247">
        <f t="shared" si="0"/>
        <v>41</v>
      </c>
      <c r="B51" s="277" t="s">
        <v>513</v>
      </c>
      <c r="C51" s="3" t="s">
        <v>514</v>
      </c>
      <c r="D51" s="925"/>
      <c r="E51" s="907">
        <v>111.42700000000001</v>
      </c>
      <c r="F51" s="10"/>
      <c r="G51" s="283"/>
      <c r="H51" s="247">
        <f t="shared" si="2"/>
        <v>41</v>
      </c>
      <c r="J51" s="1203"/>
    </row>
    <row r="52" spans="1:10" s="3" customFormat="1">
      <c r="A52" s="247">
        <f t="shared" si="0"/>
        <v>42</v>
      </c>
      <c r="B52" s="277">
        <v>561.4</v>
      </c>
      <c r="C52" s="3" t="s">
        <v>515</v>
      </c>
      <c r="D52" s="10"/>
      <c r="E52" s="8">
        <v>2802.2510600000001</v>
      </c>
      <c r="F52" s="761"/>
      <c r="G52" s="283"/>
      <c r="H52" s="247">
        <f t="shared" si="2"/>
        <v>42</v>
      </c>
      <c r="J52" s="701"/>
    </row>
    <row r="53" spans="1:10" s="3" customFormat="1">
      <c r="A53" s="247">
        <f t="shared" si="0"/>
        <v>43</v>
      </c>
      <c r="B53" s="277">
        <v>561.79999999999995</v>
      </c>
      <c r="C53" s="3" t="s">
        <v>516</v>
      </c>
      <c r="D53" s="10"/>
      <c r="E53" s="8">
        <v>1516.30691</v>
      </c>
      <c r="F53" s="761"/>
      <c r="G53" s="283"/>
      <c r="H53" s="247">
        <f t="shared" si="2"/>
        <v>43</v>
      </c>
      <c r="J53" s="736"/>
    </row>
    <row r="54" spans="1:10" s="3" customFormat="1" ht="18.75">
      <c r="A54" s="247">
        <f t="shared" si="0"/>
        <v>44</v>
      </c>
      <c r="B54" s="277">
        <v>562</v>
      </c>
      <c r="C54" s="3" t="s">
        <v>493</v>
      </c>
      <c r="D54" s="10"/>
      <c r="E54" s="8">
        <f>D20</f>
        <v>11762.996999999999</v>
      </c>
      <c r="F54" s="761"/>
      <c r="G54" s="283"/>
      <c r="H54" s="247">
        <f t="shared" si="2"/>
        <v>44</v>
      </c>
      <c r="I54" s="702"/>
      <c r="J54" s="736"/>
    </row>
    <row r="55" spans="1:10" s="3" customFormat="1" ht="18.75">
      <c r="A55" s="247">
        <f t="shared" si="0"/>
        <v>45</v>
      </c>
      <c r="B55" s="277">
        <v>563</v>
      </c>
      <c r="C55" s="3" t="s">
        <v>910</v>
      </c>
      <c r="D55" s="10"/>
      <c r="E55" s="8">
        <f>D21</f>
        <v>10628.251</v>
      </c>
      <c r="F55" s="761"/>
      <c r="G55" s="283"/>
      <c r="H55" s="247">
        <f t="shared" si="2"/>
        <v>45</v>
      </c>
      <c r="J55" s="736"/>
    </row>
    <row r="56" spans="1:10" s="3" customFormat="1">
      <c r="A56" s="247">
        <f t="shared" si="0"/>
        <v>46</v>
      </c>
      <c r="B56" s="277">
        <v>565</v>
      </c>
      <c r="C56" s="3" t="s">
        <v>517</v>
      </c>
      <c r="D56" s="10"/>
      <c r="E56" s="8">
        <v>0</v>
      </c>
      <c r="F56" s="761"/>
      <c r="G56" s="283"/>
      <c r="H56" s="247">
        <f t="shared" si="2"/>
        <v>46</v>
      </c>
      <c r="I56" s="702"/>
      <c r="J56" s="701"/>
    </row>
    <row r="57" spans="1:10" s="3" customFormat="1">
      <c r="A57" s="247">
        <f t="shared" si="0"/>
        <v>47</v>
      </c>
      <c r="B57" s="277">
        <v>566</v>
      </c>
      <c r="C57" s="3" t="s">
        <v>518</v>
      </c>
      <c r="D57" s="10"/>
      <c r="E57" s="8"/>
      <c r="F57" s="10"/>
      <c r="G57" s="283"/>
      <c r="H57" s="247">
        <f t="shared" si="2"/>
        <v>47</v>
      </c>
      <c r="I57" s="702"/>
    </row>
    <row r="58" spans="1:10" s="3" customFormat="1">
      <c r="A58" s="247">
        <f t="shared" si="0"/>
        <v>48</v>
      </c>
      <c r="B58" s="279"/>
      <c r="C58" s="3" t="s">
        <v>519</v>
      </c>
      <c r="D58" s="1223">
        <v>0</v>
      </c>
      <c r="E58" s="8"/>
      <c r="F58" s="10"/>
      <c r="G58" s="283"/>
      <c r="H58" s="247">
        <f t="shared" si="2"/>
        <v>48</v>
      </c>
      <c r="I58" s="702"/>
    </row>
    <row r="59" spans="1:10" s="3" customFormat="1">
      <c r="A59" s="247">
        <f t="shared" si="0"/>
        <v>49</v>
      </c>
      <c r="B59" s="279"/>
      <c r="C59" s="3" t="s">
        <v>520</v>
      </c>
      <c r="D59" s="8">
        <v>0</v>
      </c>
      <c r="E59" s="8"/>
      <c r="F59" s="10"/>
      <c r="G59" s="283"/>
      <c r="H59" s="247">
        <f t="shared" si="2"/>
        <v>49</v>
      </c>
      <c r="I59" s="702"/>
      <c r="J59" s="702"/>
    </row>
    <row r="60" spans="1:10" s="3" customFormat="1">
      <c r="A60" s="247">
        <f t="shared" si="0"/>
        <v>50</v>
      </c>
      <c r="B60" s="279"/>
      <c r="C60" s="3" t="s">
        <v>521</v>
      </c>
      <c r="D60" s="8">
        <v>628.16598999999997</v>
      </c>
      <c r="E60" s="8"/>
      <c r="F60" s="10"/>
      <c r="G60" s="283"/>
      <c r="H60" s="247">
        <f t="shared" si="2"/>
        <v>50</v>
      </c>
      <c r="I60" s="702"/>
    </row>
    <row r="61" spans="1:10" s="3" customFormat="1">
      <c r="A61" s="247">
        <f t="shared" si="0"/>
        <v>51</v>
      </c>
      <c r="B61" s="279"/>
      <c r="C61" s="3" t="s">
        <v>522</v>
      </c>
      <c r="D61" s="8">
        <v>206.48020000000002</v>
      </c>
      <c r="E61" s="8"/>
      <c r="F61" s="10"/>
      <c r="G61" s="283"/>
      <c r="H61" s="247">
        <f t="shared" si="2"/>
        <v>51</v>
      </c>
      <c r="J61" s="701"/>
    </row>
    <row r="62" spans="1:10" s="3" customFormat="1">
      <c r="A62" s="247">
        <f t="shared" si="0"/>
        <v>52</v>
      </c>
      <c r="B62" s="279"/>
      <c r="C62" s="3" t="s">
        <v>523</v>
      </c>
      <c r="D62" s="1264">
        <v>12313.18914</v>
      </c>
      <c r="E62" s="701">
        <f>SUM(D58:D62)</f>
        <v>13147.83533</v>
      </c>
      <c r="F62" s="761"/>
      <c r="G62" s="283"/>
      <c r="H62" s="247">
        <f t="shared" si="2"/>
        <v>52</v>
      </c>
      <c r="I62" s="701"/>
      <c r="J62" s="1203"/>
    </row>
    <row r="63" spans="1:10" s="3" customFormat="1" ht="18.75">
      <c r="A63" s="247">
        <f t="shared" si="0"/>
        <v>53</v>
      </c>
      <c r="B63" s="277">
        <v>570</v>
      </c>
      <c r="C63" s="61" t="s">
        <v>524</v>
      </c>
      <c r="D63" s="8"/>
      <c r="E63" s="257">
        <f>D36</f>
        <v>21615.627</v>
      </c>
      <c r="F63" s="761"/>
      <c r="G63" s="283"/>
      <c r="H63" s="247">
        <f t="shared" si="2"/>
        <v>53</v>
      </c>
      <c r="I63" s="701"/>
      <c r="J63" s="1203"/>
    </row>
    <row r="64" spans="1:10" s="3" customFormat="1" ht="18.75">
      <c r="A64" s="247">
        <f t="shared" si="0"/>
        <v>54</v>
      </c>
      <c r="B64" s="277">
        <v>571</v>
      </c>
      <c r="C64" s="61" t="s">
        <v>525</v>
      </c>
      <c r="D64" s="8"/>
      <c r="E64" s="257">
        <f>D37</f>
        <v>36071.786999999997</v>
      </c>
      <c r="F64" s="761"/>
      <c r="G64" s="283"/>
      <c r="H64" s="247">
        <f t="shared" si="2"/>
        <v>54</v>
      </c>
      <c r="I64" s="701"/>
      <c r="J64" s="1203"/>
    </row>
    <row r="65" spans="1:10" s="3" customFormat="1" ht="18.75">
      <c r="A65" s="247">
        <f t="shared" si="0"/>
        <v>55</v>
      </c>
      <c r="B65" s="277">
        <v>572</v>
      </c>
      <c r="C65" s="1224" t="s">
        <v>506</v>
      </c>
      <c r="D65" s="8"/>
      <c r="E65" s="257">
        <f>D38</f>
        <v>1151.414</v>
      </c>
      <c r="F65" s="761"/>
      <c r="G65" s="283"/>
      <c r="H65" s="247">
        <f t="shared" si="2"/>
        <v>55</v>
      </c>
      <c r="I65" s="701"/>
      <c r="J65" s="1203"/>
    </row>
    <row r="66" spans="1:10" s="3" customFormat="1">
      <c r="A66" s="247">
        <f t="shared" si="0"/>
        <v>56</v>
      </c>
      <c r="B66" s="280"/>
      <c r="D66" s="10"/>
      <c r="E66" s="992"/>
      <c r="F66" s="10"/>
      <c r="G66" s="283"/>
      <c r="H66" s="247">
        <f t="shared" si="2"/>
        <v>56</v>
      </c>
      <c r="J66" s="702"/>
    </row>
    <row r="67" spans="1:10" s="3" customFormat="1" ht="16.5" thickBot="1">
      <c r="A67" s="247">
        <f t="shared" si="0"/>
        <v>57</v>
      </c>
      <c r="B67" s="281"/>
      <c r="C67" s="589" t="s">
        <v>526</v>
      </c>
      <c r="D67" s="10"/>
      <c r="E67" s="330">
        <f>SUM(E51:E65)</f>
        <v>98807.896300000008</v>
      </c>
      <c r="F67" s="10"/>
      <c r="G67" s="283"/>
      <c r="H67" s="247">
        <f t="shared" si="2"/>
        <v>57</v>
      </c>
      <c r="J67" s="701"/>
    </row>
    <row r="68" spans="1:10" s="3" customFormat="1" ht="16.5" thickTop="1">
      <c r="A68" s="247">
        <f t="shared" si="0"/>
        <v>58</v>
      </c>
      <c r="B68" s="281"/>
      <c r="C68" s="61"/>
      <c r="D68" s="10"/>
      <c r="E68" s="108"/>
      <c r="F68" s="10"/>
      <c r="G68" s="283"/>
      <c r="H68" s="247">
        <f t="shared" si="2"/>
        <v>58</v>
      </c>
      <c r="J68" s="702"/>
    </row>
    <row r="69" spans="1:10" s="3" customFormat="1" ht="18.75">
      <c r="A69" s="247">
        <f t="shared" si="0"/>
        <v>59</v>
      </c>
      <c r="B69" s="282">
        <v>1</v>
      </c>
      <c r="C69" s="61" t="s">
        <v>527</v>
      </c>
      <c r="D69" s="10"/>
      <c r="E69" s="12"/>
      <c r="F69" s="10"/>
      <c r="G69" s="283"/>
      <c r="H69" s="247">
        <f t="shared" si="2"/>
        <v>59</v>
      </c>
    </row>
    <row r="70" spans="1:10" s="3" customFormat="1" ht="18.75">
      <c r="A70" s="247">
        <f t="shared" si="0"/>
        <v>60</v>
      </c>
      <c r="B70" s="282"/>
      <c r="C70" s="61" t="s">
        <v>528</v>
      </c>
      <c r="D70" s="10"/>
      <c r="E70" s="12"/>
      <c r="F70" s="10"/>
      <c r="G70" s="283"/>
      <c r="H70" s="247">
        <f t="shared" si="2"/>
        <v>60</v>
      </c>
    </row>
    <row r="71" spans="1:10" s="3" customFormat="1" ht="18.75">
      <c r="A71" s="247">
        <f t="shared" si="0"/>
        <v>61</v>
      </c>
      <c r="B71" s="282">
        <v>2</v>
      </c>
      <c r="C71" s="61" t="s">
        <v>529</v>
      </c>
      <c r="E71" s="12"/>
      <c r="G71" s="283"/>
      <c r="H71" s="247">
        <f t="shared" si="2"/>
        <v>61</v>
      </c>
    </row>
    <row r="72" spans="1:10" s="3" customFormat="1" ht="18.75">
      <c r="A72" s="247">
        <f t="shared" si="0"/>
        <v>62</v>
      </c>
      <c r="B72" s="282">
        <v>3</v>
      </c>
      <c r="C72" s="61" t="str">
        <f>"This amount represents the Direct Maintenance and Non-Direct O&amp;M expenses billed to Citizens in "&amp;Automation!B3&amp;", which is added back to derive Total Adjusted Electric"</f>
        <v>This amount represents the Direct Maintenance and Non-Direct O&amp;M expenses billed to Citizens in 2024, which is added back to derive Total Adjusted Electric</v>
      </c>
      <c r="E72" s="12"/>
      <c r="G72" s="283"/>
      <c r="H72" s="247">
        <f t="shared" si="2"/>
        <v>62</v>
      </c>
    </row>
    <row r="73" spans="1:10" s="3" customFormat="1" ht="18.75">
      <c r="A73" s="247">
        <f t="shared" si="0"/>
        <v>63</v>
      </c>
      <c r="B73" s="282"/>
      <c r="C73" s="61" t="s">
        <v>530</v>
      </c>
      <c r="E73" s="12"/>
      <c r="G73" s="283"/>
      <c r="H73" s="247">
        <f t="shared" si="2"/>
        <v>63</v>
      </c>
    </row>
    <row r="74" spans="1:10" ht="16.5" thickBot="1">
      <c r="A74" s="247">
        <f t="shared" si="0"/>
        <v>64</v>
      </c>
      <c r="B74" s="273"/>
      <c r="C74" s="266"/>
      <c r="D74" s="266"/>
      <c r="E74" s="274"/>
      <c r="F74" s="266"/>
      <c r="G74" s="269"/>
      <c r="H74" s="247">
        <f t="shared" si="2"/>
        <v>64</v>
      </c>
    </row>
    <row r="75" spans="1:10">
      <c r="A75" s="247"/>
      <c r="B75" s="275"/>
    </row>
    <row r="76" spans="1:10" ht="18.75">
      <c r="A76" s="247"/>
      <c r="B76" s="135"/>
      <c r="C76" s="3"/>
      <c r="D76" s="63"/>
      <c r="E76" s="63"/>
      <c r="F76" s="63"/>
    </row>
    <row r="77" spans="1:10" ht="18.75">
      <c r="A77" s="247"/>
      <c r="B77" s="135"/>
      <c r="C77" s="16"/>
      <c r="D77" s="63"/>
      <c r="E77" s="63"/>
      <c r="F77" s="63"/>
    </row>
    <row r="78" spans="1:10" ht="18.75">
      <c r="A78" s="247"/>
      <c r="B78" s="135"/>
      <c r="C78" s="16"/>
      <c r="D78" s="63"/>
      <c r="E78" s="63"/>
      <c r="F78" s="63"/>
    </row>
    <row r="79" spans="1:10">
      <c r="A79" s="247"/>
      <c r="B79" s="275"/>
    </row>
    <row r="80" spans="1:10">
      <c r="A80" s="247"/>
      <c r="B80" s="275"/>
    </row>
    <row r="81" spans="1:5">
      <c r="A81" s="247"/>
      <c r="B81" s="275"/>
    </row>
    <row r="82" spans="1:5">
      <c r="A82" s="247"/>
      <c r="B82" s="275"/>
    </row>
    <row r="83" spans="1:5">
      <c r="A83" s="247"/>
      <c r="B83" s="275"/>
    </row>
    <row r="84" spans="1:5">
      <c r="A84" s="247"/>
      <c r="B84" s="275"/>
    </row>
    <row r="85" spans="1:5">
      <c r="A85" s="247"/>
      <c r="B85" s="275"/>
    </row>
    <row r="86" spans="1:5">
      <c r="A86" s="247"/>
      <c r="B86" s="275"/>
    </row>
    <row r="87" spans="1:5">
      <c r="A87" s="247"/>
      <c r="B87" s="275"/>
    </row>
    <row r="88" spans="1:5">
      <c r="A88" s="247"/>
      <c r="B88" s="275"/>
      <c r="E88" s="216"/>
    </row>
    <row r="89" spans="1:5">
      <c r="A89" s="247"/>
      <c r="B89" s="275"/>
      <c r="E89" s="216"/>
    </row>
    <row r="90" spans="1:5">
      <c r="A90" s="247"/>
      <c r="B90" s="275"/>
      <c r="E90" s="216"/>
    </row>
    <row r="91" spans="1:5">
      <c r="A91" s="247"/>
      <c r="B91" s="275"/>
      <c r="E91" s="216"/>
    </row>
    <row r="92" spans="1:5">
      <c r="A92" s="247"/>
      <c r="B92" s="275"/>
      <c r="E92" s="216"/>
    </row>
    <row r="93" spans="1:5">
      <c r="A93" s="247"/>
      <c r="B93" s="275"/>
      <c r="E93" s="216"/>
    </row>
    <row r="94" spans="1:5">
      <c r="A94" s="247"/>
      <c r="B94" s="275"/>
      <c r="E94" s="216"/>
    </row>
    <row r="95" spans="1:5">
      <c r="A95" s="247"/>
      <c r="B95" s="275"/>
      <c r="E95" s="216"/>
    </row>
    <row r="96" spans="1:5">
      <c r="A96" s="247"/>
      <c r="B96" s="275"/>
      <c r="E96" s="216"/>
    </row>
    <row r="97" spans="1:5">
      <c r="A97" s="247"/>
      <c r="B97" s="275"/>
      <c r="E97" s="216"/>
    </row>
    <row r="98" spans="1:5">
      <c r="A98" s="247"/>
      <c r="B98" s="275"/>
      <c r="E98" s="216"/>
    </row>
    <row r="99" spans="1:5">
      <c r="A99" s="247"/>
      <c r="B99" s="275"/>
      <c r="E99" s="216"/>
    </row>
    <row r="100" spans="1:5">
      <c r="A100" s="247"/>
      <c r="B100" s="275"/>
      <c r="E100" s="216"/>
    </row>
    <row r="101" spans="1:5">
      <c r="A101" s="247"/>
      <c r="B101" s="275"/>
      <c r="E101" s="216"/>
    </row>
    <row r="102" spans="1:5">
      <c r="B102" s="275"/>
      <c r="E102" s="216"/>
    </row>
    <row r="103" spans="1:5">
      <c r="B103" s="275"/>
      <c r="E103" s="216"/>
    </row>
    <row r="104" spans="1:5">
      <c r="B104" s="275"/>
      <c r="E104" s="216"/>
    </row>
    <row r="105" spans="1:5">
      <c r="B105" s="275"/>
      <c r="E105" s="216"/>
    </row>
    <row r="106" spans="1:5">
      <c r="B106" s="275"/>
      <c r="E106" s="216"/>
    </row>
    <row r="107" spans="1:5">
      <c r="B107" s="275"/>
      <c r="E107" s="216"/>
    </row>
    <row r="108" spans="1:5">
      <c r="B108" s="275"/>
      <c r="E108" s="216"/>
    </row>
    <row r="109" spans="1:5">
      <c r="B109" s="275"/>
      <c r="E109" s="216"/>
    </row>
    <row r="110" spans="1:5">
      <c r="B110" s="275"/>
      <c r="E110" s="216"/>
    </row>
    <row r="111" spans="1:5">
      <c r="B111" s="275"/>
      <c r="E111" s="216"/>
    </row>
    <row r="112" spans="1:5">
      <c r="B112" s="275"/>
      <c r="E112" s="216"/>
    </row>
    <row r="113" spans="2:5">
      <c r="B113" s="275"/>
      <c r="E113" s="216"/>
    </row>
    <row r="114" spans="2:5">
      <c r="B114" s="275"/>
      <c r="E114" s="216"/>
    </row>
    <row r="115" spans="2:5">
      <c r="B115" s="275"/>
      <c r="E115" s="216"/>
    </row>
    <row r="116" spans="2:5">
      <c r="B116" s="275"/>
      <c r="E116" s="216"/>
    </row>
    <row r="117" spans="2:5">
      <c r="B117" s="275"/>
      <c r="E117" s="216"/>
    </row>
    <row r="118" spans="2:5">
      <c r="B118" s="275"/>
      <c r="E118" s="216"/>
    </row>
    <row r="119" spans="2:5">
      <c r="B119" s="275"/>
      <c r="E119" s="216"/>
    </row>
    <row r="120" spans="2:5">
      <c r="B120" s="275"/>
      <c r="E120" s="216"/>
    </row>
    <row r="121" spans="2:5">
      <c r="B121" s="275"/>
      <c r="E121" s="216"/>
    </row>
    <row r="122" spans="2:5">
      <c r="B122" s="275"/>
      <c r="E122" s="216"/>
    </row>
    <row r="123" spans="2:5">
      <c r="B123" s="275"/>
      <c r="E123" s="216"/>
    </row>
    <row r="124" spans="2:5">
      <c r="B124" s="275"/>
      <c r="E124" s="216"/>
    </row>
    <row r="125" spans="2:5">
      <c r="B125" s="275"/>
      <c r="E125" s="216"/>
    </row>
    <row r="126" spans="2:5">
      <c r="B126" s="275"/>
      <c r="E126" s="216"/>
    </row>
    <row r="127" spans="2:5">
      <c r="B127" s="275"/>
      <c r="E127" s="216"/>
    </row>
    <row r="128" spans="2:5">
      <c r="B128" s="275"/>
      <c r="E128" s="216"/>
    </row>
    <row r="129" spans="2:5">
      <c r="B129" s="275"/>
      <c r="E129" s="216"/>
    </row>
    <row r="130" spans="2:5">
      <c r="B130" s="275"/>
      <c r="E130" s="216"/>
    </row>
    <row r="131" spans="2:5">
      <c r="B131" s="275"/>
      <c r="E131" s="216"/>
    </row>
    <row r="132" spans="2:5">
      <c r="B132" s="275"/>
      <c r="E132" s="216"/>
    </row>
    <row r="133" spans="2:5">
      <c r="B133" s="275"/>
      <c r="E133" s="216"/>
    </row>
    <row r="134" spans="2:5">
      <c r="B134" s="275"/>
      <c r="E134" s="216"/>
    </row>
    <row r="135" spans="2:5">
      <c r="B135" s="275"/>
      <c r="E135" s="216"/>
    </row>
    <row r="136" spans="2:5">
      <c r="B136" s="275"/>
      <c r="E136" s="216"/>
    </row>
    <row r="137" spans="2:5">
      <c r="B137" s="275"/>
      <c r="E137" s="216"/>
    </row>
    <row r="138" spans="2:5">
      <c r="B138" s="275"/>
      <c r="E138" s="216"/>
    </row>
    <row r="139" spans="2:5">
      <c r="B139" s="275"/>
      <c r="E139" s="216"/>
    </row>
    <row r="140" spans="2:5">
      <c r="B140" s="275"/>
      <c r="E140" s="216"/>
    </row>
    <row r="141" spans="2:5">
      <c r="B141" s="275"/>
      <c r="E141" s="216"/>
    </row>
    <row r="142" spans="2:5">
      <c r="B142" s="275"/>
      <c r="E142" s="216"/>
    </row>
    <row r="143" spans="2:5">
      <c r="B143" s="275"/>
      <c r="E143" s="216"/>
    </row>
    <row r="144" spans="2:5">
      <c r="B144" s="275"/>
      <c r="E144" s="216"/>
    </row>
    <row r="145" spans="2:5">
      <c r="B145" s="275"/>
      <c r="E145" s="216"/>
    </row>
    <row r="146" spans="2:5">
      <c r="B146" s="275"/>
      <c r="E146" s="216"/>
    </row>
    <row r="147" spans="2:5">
      <c r="B147" s="275"/>
      <c r="E147" s="216"/>
    </row>
    <row r="148" spans="2:5">
      <c r="B148" s="275"/>
      <c r="E148" s="216"/>
    </row>
    <row r="149" spans="2:5">
      <c r="B149" s="275"/>
      <c r="E149" s="216"/>
    </row>
    <row r="150" spans="2:5">
      <c r="B150" s="275"/>
      <c r="E150" s="216"/>
    </row>
    <row r="151" spans="2:5">
      <c r="B151" s="275"/>
      <c r="E151" s="216"/>
    </row>
    <row r="152" spans="2:5">
      <c r="B152" s="275"/>
      <c r="E152" s="216"/>
    </row>
    <row r="153" spans="2:5">
      <c r="B153" s="275"/>
      <c r="E153" s="216"/>
    </row>
    <row r="154" spans="2:5">
      <c r="B154" s="275"/>
      <c r="E154" s="216"/>
    </row>
    <row r="155" spans="2:5">
      <c r="B155" s="275"/>
      <c r="E155" s="216"/>
    </row>
    <row r="156" spans="2:5">
      <c r="B156" s="275"/>
      <c r="E156" s="216"/>
    </row>
    <row r="157" spans="2:5">
      <c r="B157" s="275"/>
      <c r="E157" s="216"/>
    </row>
    <row r="158" spans="2:5">
      <c r="B158" s="275"/>
      <c r="E158" s="216"/>
    </row>
    <row r="159" spans="2:5">
      <c r="B159" s="275"/>
      <c r="E159" s="216"/>
    </row>
    <row r="160" spans="2:5">
      <c r="B160" s="275"/>
      <c r="E160" s="216"/>
    </row>
    <row r="161" spans="2:5">
      <c r="B161" s="275"/>
      <c r="E161" s="216"/>
    </row>
    <row r="162" spans="2:5">
      <c r="B162" s="275"/>
      <c r="E162" s="216"/>
    </row>
    <row r="163" spans="2:5">
      <c r="B163" s="275"/>
      <c r="E163" s="216"/>
    </row>
    <row r="164" spans="2:5">
      <c r="B164" s="275"/>
      <c r="E164" s="216"/>
    </row>
    <row r="165" spans="2:5">
      <c r="B165" s="275"/>
      <c r="E165" s="216"/>
    </row>
    <row r="166" spans="2:5">
      <c r="B166" s="275"/>
      <c r="E166" s="216"/>
    </row>
    <row r="167" spans="2:5">
      <c r="B167" s="275"/>
      <c r="E167" s="216"/>
    </row>
    <row r="168" spans="2:5">
      <c r="B168" s="275"/>
      <c r="E168" s="216"/>
    </row>
    <row r="169" spans="2:5">
      <c r="B169" s="275"/>
      <c r="E169" s="216"/>
    </row>
    <row r="170" spans="2:5">
      <c r="B170" s="275"/>
      <c r="E170" s="216"/>
    </row>
    <row r="171" spans="2:5">
      <c r="B171" s="275"/>
      <c r="E171" s="216"/>
    </row>
    <row r="172" spans="2:5">
      <c r="B172" s="275"/>
      <c r="E172" s="216"/>
    </row>
    <row r="173" spans="2:5">
      <c r="B173" s="275"/>
      <c r="E173" s="216"/>
    </row>
    <row r="174" spans="2:5">
      <c r="B174" s="275"/>
      <c r="E174" s="216"/>
    </row>
    <row r="175" spans="2:5">
      <c r="B175" s="275"/>
      <c r="E175" s="216"/>
    </row>
    <row r="176" spans="2:5">
      <c r="B176" s="275"/>
      <c r="E176" s="216"/>
    </row>
    <row r="177" spans="2:5">
      <c r="B177" s="275"/>
      <c r="E177" s="216"/>
    </row>
    <row r="178" spans="2:5">
      <c r="B178" s="275"/>
      <c r="E178" s="216"/>
    </row>
    <row r="179" spans="2:5">
      <c r="B179" s="275"/>
      <c r="E179" s="216"/>
    </row>
    <row r="180" spans="2:5">
      <c r="B180" s="275"/>
      <c r="E180" s="216"/>
    </row>
    <row r="181" spans="2:5">
      <c r="B181" s="275"/>
      <c r="E181" s="216"/>
    </row>
    <row r="182" spans="2:5">
      <c r="B182" s="275"/>
      <c r="E182" s="216"/>
    </row>
    <row r="183" spans="2:5">
      <c r="B183" s="275"/>
      <c r="E183" s="216"/>
    </row>
    <row r="184" spans="2:5">
      <c r="B184" s="275"/>
      <c r="E184" s="216"/>
    </row>
    <row r="185" spans="2:5">
      <c r="B185" s="275"/>
      <c r="E185" s="216"/>
    </row>
    <row r="186" spans="2:5">
      <c r="B186" s="275"/>
      <c r="E186" s="216"/>
    </row>
    <row r="187" spans="2:5">
      <c r="B187" s="275"/>
      <c r="E187" s="216"/>
    </row>
    <row r="188" spans="2:5">
      <c r="B188" s="275"/>
      <c r="E188" s="216"/>
    </row>
    <row r="189" spans="2:5">
      <c r="B189" s="275"/>
      <c r="E189" s="216"/>
    </row>
    <row r="190" spans="2:5">
      <c r="B190" s="275"/>
      <c r="E190" s="216"/>
    </row>
    <row r="191" spans="2:5">
      <c r="B191" s="275"/>
      <c r="E191" s="216"/>
    </row>
    <row r="192" spans="2:5">
      <c r="B192" s="275"/>
      <c r="E192" s="216"/>
    </row>
    <row r="193" spans="2:5">
      <c r="B193" s="275"/>
      <c r="E193" s="216"/>
    </row>
    <row r="194" spans="2:5">
      <c r="B194" s="275"/>
      <c r="E194" s="216"/>
    </row>
    <row r="195" spans="2:5">
      <c r="B195" s="275"/>
      <c r="E195" s="216"/>
    </row>
    <row r="196" spans="2:5">
      <c r="B196" s="275"/>
      <c r="E196" s="216"/>
    </row>
    <row r="197" spans="2:5">
      <c r="B197" s="275"/>
      <c r="E197" s="216"/>
    </row>
    <row r="198" spans="2:5">
      <c r="B198" s="275"/>
      <c r="E198" s="216"/>
    </row>
    <row r="199" spans="2:5">
      <c r="B199" s="275"/>
      <c r="E199" s="216"/>
    </row>
    <row r="200" spans="2:5">
      <c r="B200" s="275"/>
      <c r="E200" s="216"/>
    </row>
    <row r="201" spans="2:5">
      <c r="B201" s="275"/>
      <c r="E201" s="216"/>
    </row>
    <row r="202" spans="2:5">
      <c r="B202" s="275"/>
      <c r="E202" s="216"/>
    </row>
    <row r="203" spans="2:5">
      <c r="B203" s="275"/>
      <c r="E203" s="216"/>
    </row>
    <row r="204" spans="2:5">
      <c r="B204" s="275"/>
      <c r="E204" s="216"/>
    </row>
    <row r="205" spans="2:5">
      <c r="B205" s="275"/>
      <c r="E205" s="216"/>
    </row>
    <row r="206" spans="2:5">
      <c r="B206" s="275"/>
      <c r="E206" s="216"/>
    </row>
    <row r="207" spans="2:5">
      <c r="B207" s="275"/>
      <c r="E207" s="216"/>
    </row>
    <row r="208" spans="2:5">
      <c r="B208" s="275"/>
      <c r="E208" s="216"/>
    </row>
    <row r="209" spans="2:5">
      <c r="B209" s="275"/>
      <c r="E209" s="216"/>
    </row>
    <row r="210" spans="2:5">
      <c r="B210" s="275"/>
      <c r="E210" s="216"/>
    </row>
    <row r="211" spans="2:5">
      <c r="B211" s="275"/>
      <c r="E211" s="216"/>
    </row>
    <row r="212" spans="2:5">
      <c r="B212" s="275"/>
      <c r="E212" s="216"/>
    </row>
    <row r="213" spans="2:5">
      <c r="B213" s="275"/>
      <c r="E213" s="216"/>
    </row>
    <row r="214" spans="2:5">
      <c r="B214" s="275"/>
      <c r="E214" s="216"/>
    </row>
    <row r="215" spans="2:5">
      <c r="B215" s="275"/>
      <c r="E215" s="216"/>
    </row>
    <row r="216" spans="2:5">
      <c r="B216" s="275"/>
      <c r="E216" s="216"/>
    </row>
    <row r="217" spans="2:5">
      <c r="B217" s="275"/>
      <c r="E217" s="216"/>
    </row>
    <row r="218" spans="2:5">
      <c r="B218" s="275"/>
      <c r="E218" s="216"/>
    </row>
    <row r="219" spans="2:5">
      <c r="B219" s="275"/>
      <c r="E219" s="216"/>
    </row>
    <row r="220" spans="2:5">
      <c r="B220" s="275"/>
      <c r="E220" s="216"/>
    </row>
    <row r="221" spans="2:5">
      <c r="B221" s="275"/>
      <c r="E221" s="216"/>
    </row>
    <row r="222" spans="2:5">
      <c r="B222" s="275"/>
      <c r="E222" s="216"/>
    </row>
    <row r="223" spans="2:5">
      <c r="B223" s="275"/>
      <c r="E223" s="216"/>
    </row>
    <row r="224" spans="2:5">
      <c r="B224" s="275"/>
      <c r="E224" s="216"/>
    </row>
    <row r="225" spans="2:5">
      <c r="B225" s="275"/>
      <c r="E225" s="216"/>
    </row>
    <row r="226" spans="2:5">
      <c r="B226" s="275"/>
      <c r="E226" s="216"/>
    </row>
    <row r="227" spans="2:5">
      <c r="B227" s="275"/>
      <c r="E227" s="216"/>
    </row>
    <row r="228" spans="2:5">
      <c r="B228" s="275"/>
      <c r="E228" s="216"/>
    </row>
    <row r="229" spans="2:5">
      <c r="B229" s="275"/>
      <c r="E229" s="216"/>
    </row>
    <row r="230" spans="2:5">
      <c r="B230" s="275"/>
      <c r="E230" s="216"/>
    </row>
    <row r="231" spans="2:5">
      <c r="B231" s="275"/>
      <c r="E231" s="216"/>
    </row>
    <row r="232" spans="2:5">
      <c r="B232" s="275"/>
      <c r="E232" s="216"/>
    </row>
    <row r="233" spans="2:5">
      <c r="B233" s="275"/>
      <c r="E233" s="216"/>
    </row>
    <row r="234" spans="2:5">
      <c r="B234" s="275"/>
      <c r="E234" s="216"/>
    </row>
    <row r="235" spans="2:5">
      <c r="B235" s="275"/>
      <c r="E235" s="216"/>
    </row>
    <row r="236" spans="2:5">
      <c r="B236" s="275"/>
      <c r="E236" s="216"/>
    </row>
    <row r="237" spans="2:5">
      <c r="B237" s="275"/>
      <c r="E237" s="216"/>
    </row>
    <row r="238" spans="2:5">
      <c r="B238" s="275"/>
      <c r="E238" s="216"/>
    </row>
    <row r="239" spans="2:5">
      <c r="B239" s="275"/>
      <c r="E239" s="216"/>
    </row>
    <row r="240" spans="2:5">
      <c r="B240" s="275"/>
      <c r="E240" s="216"/>
    </row>
    <row r="241" spans="2:5">
      <c r="B241" s="275"/>
      <c r="E241" s="216"/>
    </row>
    <row r="242" spans="2:5">
      <c r="B242" s="275"/>
      <c r="E242" s="216"/>
    </row>
    <row r="243" spans="2:5">
      <c r="B243" s="275"/>
      <c r="E243" s="216"/>
    </row>
    <row r="244" spans="2:5">
      <c r="B244" s="275"/>
      <c r="E244" s="216"/>
    </row>
    <row r="245" spans="2:5">
      <c r="B245" s="275"/>
      <c r="E245" s="216"/>
    </row>
    <row r="246" spans="2:5">
      <c r="B246" s="275"/>
      <c r="E246" s="216"/>
    </row>
    <row r="247" spans="2:5">
      <c r="B247" s="275"/>
      <c r="E247" s="216"/>
    </row>
    <row r="248" spans="2:5">
      <c r="B248" s="275"/>
      <c r="E248" s="216"/>
    </row>
    <row r="249" spans="2:5">
      <c r="B249" s="275"/>
      <c r="E249" s="216"/>
    </row>
    <row r="250" spans="2:5">
      <c r="B250" s="275"/>
      <c r="E250" s="216"/>
    </row>
    <row r="251" spans="2:5">
      <c r="B251" s="275"/>
      <c r="E251" s="216"/>
    </row>
    <row r="252" spans="2:5">
      <c r="B252" s="275"/>
      <c r="E252" s="216"/>
    </row>
    <row r="253" spans="2:5">
      <c r="B253" s="275"/>
      <c r="E253" s="216"/>
    </row>
    <row r="254" spans="2:5">
      <c r="B254" s="275"/>
      <c r="E254" s="216"/>
    </row>
    <row r="255" spans="2:5">
      <c r="B255" s="275"/>
      <c r="E255" s="216"/>
    </row>
    <row r="256" spans="2:5">
      <c r="B256" s="275"/>
      <c r="E256" s="216"/>
    </row>
    <row r="257" spans="2:5">
      <c r="B257" s="275"/>
      <c r="E257" s="216"/>
    </row>
    <row r="258" spans="2:5">
      <c r="B258" s="275"/>
      <c r="E258" s="216"/>
    </row>
    <row r="259" spans="2:5">
      <c r="B259" s="275"/>
      <c r="E259" s="216"/>
    </row>
    <row r="260" spans="2:5">
      <c r="B260" s="275"/>
      <c r="E260" s="216"/>
    </row>
    <row r="261" spans="2:5">
      <c r="B261" s="275"/>
      <c r="E261" s="216"/>
    </row>
    <row r="262" spans="2:5">
      <c r="B262" s="275"/>
      <c r="E262" s="216"/>
    </row>
    <row r="263" spans="2:5">
      <c r="B263" s="275"/>
      <c r="E263" s="216"/>
    </row>
    <row r="264" spans="2:5">
      <c r="B264" s="275"/>
      <c r="E264" s="216"/>
    </row>
    <row r="265" spans="2:5">
      <c r="B265" s="275"/>
      <c r="E265" s="216"/>
    </row>
    <row r="266" spans="2:5">
      <c r="B266" s="275"/>
      <c r="E266" s="216"/>
    </row>
    <row r="267" spans="2:5">
      <c r="B267" s="275"/>
      <c r="E267" s="216"/>
    </row>
    <row r="268" spans="2:5">
      <c r="B268" s="275"/>
      <c r="E268" s="216"/>
    </row>
    <row r="269" spans="2:5">
      <c r="B269" s="275"/>
      <c r="E269" s="216"/>
    </row>
    <row r="270" spans="2:5">
      <c r="B270" s="275"/>
      <c r="E270" s="216"/>
    </row>
    <row r="271" spans="2:5">
      <c r="B271" s="275"/>
      <c r="E271" s="216"/>
    </row>
    <row r="272" spans="2:5">
      <c r="B272" s="275"/>
      <c r="E272" s="216"/>
    </row>
    <row r="273" spans="2:5">
      <c r="B273" s="275"/>
      <c r="E273" s="216"/>
    </row>
    <row r="274" spans="2:5">
      <c r="B274" s="275"/>
      <c r="E274" s="216"/>
    </row>
    <row r="275" spans="2:5">
      <c r="B275" s="275"/>
      <c r="E275" s="216"/>
    </row>
    <row r="276" spans="2:5">
      <c r="B276" s="275"/>
      <c r="E276" s="216"/>
    </row>
    <row r="277" spans="2:5">
      <c r="B277" s="275"/>
      <c r="E277" s="216"/>
    </row>
    <row r="278" spans="2:5">
      <c r="B278" s="275"/>
      <c r="E278" s="216"/>
    </row>
    <row r="279" spans="2:5">
      <c r="B279" s="275"/>
      <c r="E279" s="216"/>
    </row>
    <row r="280" spans="2:5">
      <c r="B280" s="275"/>
      <c r="E280" s="216"/>
    </row>
    <row r="281" spans="2:5">
      <c r="B281" s="275"/>
      <c r="E281" s="216"/>
    </row>
    <row r="282" spans="2:5">
      <c r="B282" s="275"/>
      <c r="E282" s="216"/>
    </row>
    <row r="283" spans="2:5">
      <c r="B283" s="275"/>
      <c r="E283" s="216"/>
    </row>
    <row r="284" spans="2:5">
      <c r="B284" s="275"/>
      <c r="E284" s="216"/>
    </row>
    <row r="285" spans="2:5">
      <c r="B285" s="275"/>
      <c r="E285" s="216"/>
    </row>
    <row r="286" spans="2:5">
      <c r="B286" s="275"/>
      <c r="E286" s="216"/>
    </row>
    <row r="287" spans="2:5">
      <c r="B287" s="275"/>
      <c r="E287" s="216"/>
    </row>
    <row r="288" spans="2:5">
      <c r="B288" s="275"/>
      <c r="E288" s="216"/>
    </row>
    <row r="289" spans="2:5">
      <c r="B289" s="275"/>
      <c r="E289" s="216"/>
    </row>
    <row r="290" spans="2:5">
      <c r="B290" s="275"/>
      <c r="E290" s="216"/>
    </row>
    <row r="291" spans="2:5">
      <c r="B291" s="275"/>
      <c r="E291" s="216"/>
    </row>
    <row r="292" spans="2:5">
      <c r="B292" s="275"/>
      <c r="E292" s="216"/>
    </row>
    <row r="293" spans="2:5">
      <c r="B293" s="275"/>
      <c r="E293" s="216"/>
    </row>
    <row r="294" spans="2:5">
      <c r="B294" s="275"/>
      <c r="E294" s="216"/>
    </row>
    <row r="295" spans="2:5">
      <c r="B295" s="275"/>
      <c r="E295" s="216"/>
    </row>
    <row r="296" spans="2:5">
      <c r="B296" s="275"/>
      <c r="E296" s="216"/>
    </row>
    <row r="297" spans="2:5">
      <c r="B297" s="275"/>
      <c r="E297" s="216"/>
    </row>
    <row r="298" spans="2:5">
      <c r="B298" s="275"/>
      <c r="E298" s="216"/>
    </row>
    <row r="299" spans="2:5">
      <c r="B299" s="275"/>
      <c r="E299" s="216"/>
    </row>
    <row r="300" spans="2:5">
      <c r="B300" s="275"/>
      <c r="E300" s="216"/>
    </row>
    <row r="301" spans="2:5">
      <c r="B301" s="275"/>
      <c r="E301" s="216"/>
    </row>
    <row r="302" spans="2:5">
      <c r="B302" s="275"/>
      <c r="E302" s="216"/>
    </row>
    <row r="303" spans="2:5">
      <c r="B303" s="275"/>
      <c r="E303" s="216"/>
    </row>
    <row r="304" spans="2:5">
      <c r="B304" s="275"/>
      <c r="E304" s="216"/>
    </row>
    <row r="305" spans="2:5">
      <c r="B305" s="275"/>
      <c r="E305" s="216"/>
    </row>
    <row r="306" spans="2:5">
      <c r="B306" s="275"/>
      <c r="E306" s="216"/>
    </row>
    <row r="307" spans="2:5">
      <c r="B307" s="275"/>
      <c r="E307" s="216"/>
    </row>
    <row r="308" spans="2:5">
      <c r="B308" s="275"/>
      <c r="E308" s="216"/>
    </row>
    <row r="309" spans="2:5">
      <c r="B309" s="275"/>
      <c r="E309" s="216"/>
    </row>
    <row r="310" spans="2:5">
      <c r="B310" s="275"/>
      <c r="E310" s="216"/>
    </row>
    <row r="311" spans="2:5">
      <c r="B311" s="275"/>
      <c r="E311" s="216"/>
    </row>
    <row r="312" spans="2:5">
      <c r="B312" s="275"/>
      <c r="E312" s="216"/>
    </row>
    <row r="313" spans="2:5">
      <c r="B313" s="275"/>
      <c r="E313" s="216"/>
    </row>
    <row r="314" spans="2:5">
      <c r="B314" s="275"/>
      <c r="E314" s="216"/>
    </row>
    <row r="315" spans="2:5">
      <c r="B315" s="275"/>
      <c r="E315" s="216"/>
    </row>
    <row r="316" spans="2:5">
      <c r="B316" s="275"/>
      <c r="E316" s="216"/>
    </row>
    <row r="317" spans="2:5">
      <c r="B317" s="275"/>
      <c r="E317" s="216"/>
    </row>
    <row r="318" spans="2:5">
      <c r="B318" s="275"/>
      <c r="E318" s="216"/>
    </row>
    <row r="319" spans="2:5">
      <c r="B319" s="275"/>
      <c r="E319" s="216"/>
    </row>
    <row r="320" spans="2:5">
      <c r="B320" s="275"/>
      <c r="E320" s="216"/>
    </row>
    <row r="321" spans="2:5">
      <c r="B321" s="275"/>
      <c r="E321" s="216"/>
    </row>
    <row r="322" spans="2:5">
      <c r="B322" s="275"/>
      <c r="E322" s="216"/>
    </row>
    <row r="323" spans="2:5">
      <c r="B323" s="275"/>
      <c r="E323" s="216"/>
    </row>
    <row r="324" spans="2:5">
      <c r="B324" s="275"/>
      <c r="E324" s="216"/>
    </row>
    <row r="325" spans="2:5">
      <c r="B325" s="275"/>
      <c r="E325" s="216"/>
    </row>
    <row r="326" spans="2:5">
      <c r="B326" s="275"/>
      <c r="E326" s="216"/>
    </row>
    <row r="327" spans="2:5">
      <c r="B327" s="275"/>
      <c r="E327" s="216"/>
    </row>
    <row r="328" spans="2:5">
      <c r="B328" s="275"/>
      <c r="E328" s="216"/>
    </row>
    <row r="329" spans="2:5">
      <c r="B329" s="275"/>
      <c r="E329" s="216"/>
    </row>
    <row r="330" spans="2:5">
      <c r="B330" s="275"/>
      <c r="E330" s="216"/>
    </row>
    <row r="331" spans="2:5">
      <c r="B331" s="275"/>
      <c r="E331" s="216"/>
    </row>
    <row r="332" spans="2:5">
      <c r="B332" s="275"/>
      <c r="E332" s="216"/>
    </row>
    <row r="333" spans="2:5">
      <c r="B333" s="275"/>
      <c r="E333" s="216"/>
    </row>
    <row r="334" spans="2:5">
      <c r="B334" s="275"/>
      <c r="E334" s="216"/>
    </row>
    <row r="335" spans="2:5">
      <c r="B335" s="275"/>
      <c r="E335" s="216"/>
    </row>
    <row r="336" spans="2:5">
      <c r="B336" s="275"/>
      <c r="E336" s="216"/>
    </row>
    <row r="337" spans="2:5">
      <c r="B337" s="275"/>
      <c r="E337" s="216"/>
    </row>
    <row r="338" spans="2:5">
      <c r="B338" s="275"/>
      <c r="E338" s="216"/>
    </row>
    <row r="339" spans="2:5">
      <c r="B339" s="275"/>
      <c r="E339" s="216"/>
    </row>
    <row r="340" spans="2:5">
      <c r="B340" s="275"/>
      <c r="E340" s="216"/>
    </row>
    <row r="341" spans="2:5">
      <c r="B341" s="275"/>
      <c r="E341" s="216"/>
    </row>
    <row r="342" spans="2:5">
      <c r="B342" s="275"/>
      <c r="E342" s="216"/>
    </row>
    <row r="343" spans="2:5">
      <c r="B343" s="275"/>
      <c r="E343" s="216"/>
    </row>
    <row r="344" spans="2:5">
      <c r="B344" s="275"/>
      <c r="E344" s="216"/>
    </row>
    <row r="345" spans="2:5">
      <c r="B345" s="275"/>
      <c r="E345" s="216"/>
    </row>
    <row r="346" spans="2:5">
      <c r="B346" s="275"/>
      <c r="E346" s="216"/>
    </row>
    <row r="347" spans="2:5">
      <c r="B347" s="275"/>
      <c r="E347" s="216"/>
    </row>
    <row r="348" spans="2:5">
      <c r="B348" s="275"/>
      <c r="E348" s="216"/>
    </row>
    <row r="349" spans="2:5">
      <c r="B349" s="275"/>
      <c r="E349" s="216"/>
    </row>
    <row r="350" spans="2:5">
      <c r="B350" s="275"/>
      <c r="E350" s="216"/>
    </row>
    <row r="351" spans="2:5">
      <c r="B351" s="275"/>
      <c r="E351" s="216"/>
    </row>
    <row r="352" spans="2:5">
      <c r="B352" s="275"/>
      <c r="E352" s="216"/>
    </row>
    <row r="353" spans="2:5">
      <c r="B353" s="275"/>
      <c r="E353" s="216"/>
    </row>
    <row r="354" spans="2:5">
      <c r="B354" s="275"/>
      <c r="E354" s="216"/>
    </row>
    <row r="355" spans="2:5">
      <c r="B355" s="275"/>
      <c r="E355" s="216"/>
    </row>
    <row r="356" spans="2:5">
      <c r="B356" s="275"/>
      <c r="E356" s="216"/>
    </row>
    <row r="357" spans="2:5">
      <c r="B357" s="275"/>
      <c r="E357" s="216"/>
    </row>
    <row r="358" spans="2:5">
      <c r="B358" s="275"/>
      <c r="E358" s="216"/>
    </row>
    <row r="359" spans="2:5">
      <c r="B359" s="275"/>
      <c r="E359" s="216"/>
    </row>
    <row r="360" spans="2:5">
      <c r="B360" s="275"/>
      <c r="E360" s="216"/>
    </row>
    <row r="361" spans="2:5">
      <c r="B361" s="275"/>
      <c r="E361" s="216"/>
    </row>
    <row r="362" spans="2:5">
      <c r="B362" s="275"/>
      <c r="E362" s="216"/>
    </row>
    <row r="363" spans="2:5">
      <c r="B363" s="275"/>
      <c r="E363" s="216"/>
    </row>
    <row r="364" spans="2:5">
      <c r="B364" s="275"/>
      <c r="E364" s="216"/>
    </row>
    <row r="365" spans="2:5">
      <c r="B365" s="275"/>
      <c r="E365" s="216"/>
    </row>
    <row r="366" spans="2:5">
      <c r="B366" s="275"/>
      <c r="E366" s="216"/>
    </row>
    <row r="367" spans="2:5">
      <c r="B367" s="275"/>
      <c r="E367" s="216"/>
    </row>
    <row r="368" spans="2:5">
      <c r="B368" s="275"/>
      <c r="E368" s="216"/>
    </row>
    <row r="369" spans="2:5">
      <c r="B369" s="275"/>
      <c r="E369" s="216"/>
    </row>
    <row r="370" spans="2:5">
      <c r="B370" s="275"/>
      <c r="E370" s="216"/>
    </row>
    <row r="371" spans="2:5">
      <c r="B371" s="275"/>
      <c r="E371" s="216"/>
    </row>
    <row r="372" spans="2:5">
      <c r="B372" s="275"/>
      <c r="E372" s="216"/>
    </row>
    <row r="373" spans="2:5">
      <c r="B373" s="275"/>
      <c r="E373" s="216"/>
    </row>
    <row r="374" spans="2:5">
      <c r="B374" s="275"/>
      <c r="E374" s="216"/>
    </row>
    <row r="375" spans="2:5">
      <c r="B375" s="275"/>
      <c r="E375" s="216"/>
    </row>
    <row r="376" spans="2:5">
      <c r="B376" s="275"/>
      <c r="E376" s="216"/>
    </row>
    <row r="377" spans="2:5">
      <c r="B377" s="275"/>
      <c r="E377" s="216"/>
    </row>
    <row r="378" spans="2:5">
      <c r="B378" s="275"/>
      <c r="E378" s="216"/>
    </row>
    <row r="379" spans="2:5">
      <c r="B379" s="275"/>
      <c r="E379" s="216"/>
    </row>
    <row r="380" spans="2:5">
      <c r="B380" s="275"/>
      <c r="E380" s="216"/>
    </row>
    <row r="381" spans="2:5">
      <c r="B381" s="275"/>
      <c r="E381" s="216"/>
    </row>
    <row r="382" spans="2:5">
      <c r="B382" s="275"/>
      <c r="E382" s="216"/>
    </row>
    <row r="383" spans="2:5">
      <c r="B383" s="275"/>
      <c r="E383" s="216"/>
    </row>
    <row r="384" spans="2:5">
      <c r="B384" s="275"/>
      <c r="E384" s="216"/>
    </row>
    <row r="385" spans="2:5">
      <c r="B385" s="275"/>
      <c r="E385" s="216"/>
    </row>
    <row r="386" spans="2:5">
      <c r="B386" s="275"/>
      <c r="E386" s="216"/>
    </row>
    <row r="387" spans="2:5">
      <c r="B387" s="275"/>
      <c r="E387" s="216"/>
    </row>
    <row r="388" spans="2:5">
      <c r="B388" s="275"/>
      <c r="E388" s="216"/>
    </row>
    <row r="389" spans="2:5">
      <c r="B389" s="275"/>
      <c r="E389" s="216"/>
    </row>
    <row r="390" spans="2:5">
      <c r="B390" s="275"/>
      <c r="E390" s="216"/>
    </row>
    <row r="391" spans="2:5">
      <c r="B391" s="275"/>
      <c r="E391" s="216"/>
    </row>
    <row r="392" spans="2:5">
      <c r="B392" s="275"/>
      <c r="E392" s="216"/>
    </row>
    <row r="393" spans="2:5">
      <c r="B393" s="275"/>
      <c r="E393" s="216"/>
    </row>
    <row r="394" spans="2:5">
      <c r="B394" s="275"/>
      <c r="E394" s="216"/>
    </row>
    <row r="395" spans="2:5">
      <c r="B395" s="275"/>
      <c r="E395" s="216"/>
    </row>
    <row r="396" spans="2:5">
      <c r="B396" s="275"/>
      <c r="E396" s="216"/>
    </row>
    <row r="397" spans="2:5">
      <c r="B397" s="275"/>
      <c r="E397" s="216"/>
    </row>
    <row r="398" spans="2:5">
      <c r="B398" s="275"/>
      <c r="E398" s="216"/>
    </row>
    <row r="399" spans="2:5">
      <c r="B399" s="275"/>
      <c r="E399" s="216"/>
    </row>
    <row r="400" spans="2:5">
      <c r="B400" s="275"/>
      <c r="E400" s="216"/>
    </row>
    <row r="401" spans="2:5">
      <c r="B401" s="275"/>
      <c r="E401" s="216"/>
    </row>
    <row r="402" spans="2:5">
      <c r="B402" s="275"/>
      <c r="E402" s="216"/>
    </row>
    <row r="403" spans="2:5">
      <c r="B403" s="275"/>
      <c r="E403" s="216"/>
    </row>
    <row r="404" spans="2:5">
      <c r="B404" s="275"/>
      <c r="E404" s="216"/>
    </row>
    <row r="405" spans="2:5">
      <c r="B405" s="275"/>
      <c r="E405" s="216"/>
    </row>
    <row r="406" spans="2:5">
      <c r="B406" s="275"/>
      <c r="E406" s="216"/>
    </row>
    <row r="407" spans="2:5">
      <c r="B407" s="275"/>
      <c r="E407" s="216"/>
    </row>
    <row r="408" spans="2:5">
      <c r="B408" s="275"/>
      <c r="E408" s="216"/>
    </row>
    <row r="409" spans="2:5">
      <c r="B409" s="275"/>
      <c r="E409" s="216"/>
    </row>
    <row r="410" spans="2:5">
      <c r="B410" s="275"/>
      <c r="E410" s="216"/>
    </row>
    <row r="411" spans="2:5">
      <c r="B411" s="275"/>
      <c r="E411" s="216"/>
    </row>
    <row r="412" spans="2:5">
      <c r="B412" s="275"/>
      <c r="E412" s="216"/>
    </row>
    <row r="413" spans="2:5">
      <c r="B413" s="275"/>
      <c r="E413" s="216"/>
    </row>
    <row r="414" spans="2:5">
      <c r="B414" s="275"/>
      <c r="E414" s="216"/>
    </row>
    <row r="415" spans="2:5">
      <c r="B415" s="275"/>
      <c r="E415" s="216"/>
    </row>
    <row r="416" spans="2:5">
      <c r="B416" s="275"/>
      <c r="E416" s="216"/>
    </row>
    <row r="417" spans="2:5">
      <c r="B417" s="275"/>
      <c r="E417" s="216"/>
    </row>
    <row r="418" spans="2:5">
      <c r="B418" s="275"/>
      <c r="E418" s="216"/>
    </row>
    <row r="419" spans="2:5">
      <c r="B419" s="275"/>
      <c r="E419" s="216"/>
    </row>
    <row r="420" spans="2:5">
      <c r="B420" s="275"/>
      <c r="E420" s="216"/>
    </row>
    <row r="421" spans="2:5">
      <c r="B421" s="275"/>
      <c r="E421" s="216"/>
    </row>
    <row r="422" spans="2:5">
      <c r="B422" s="275"/>
      <c r="E422" s="216"/>
    </row>
    <row r="423" spans="2:5">
      <c r="B423" s="275"/>
      <c r="E423" s="216"/>
    </row>
    <row r="424" spans="2:5">
      <c r="B424" s="275"/>
      <c r="E424" s="216"/>
    </row>
    <row r="425" spans="2:5">
      <c r="B425" s="275"/>
      <c r="E425" s="216"/>
    </row>
    <row r="426" spans="2:5">
      <c r="B426" s="275"/>
      <c r="E426" s="216"/>
    </row>
    <row r="427" spans="2:5">
      <c r="B427" s="275"/>
      <c r="E427" s="216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Roman,Regular"&amp;10&amp;A</oddFooter>
  </headerFooter>
  <customProperties>
    <customPr name="_pios_id" r:id="rId2"/>
  </customProperties>
  <ignoredErrors>
    <ignoredError sqref="B51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2:U72"/>
  <sheetViews>
    <sheetView topLeftCell="A9" zoomScale="80" zoomScaleNormal="80" zoomScalePageLayoutView="80" workbookViewId="0">
      <selection activeCell="E42" sqref="E42"/>
    </sheetView>
  </sheetViews>
  <sheetFormatPr defaultColWidth="9.140625" defaultRowHeight="15.75"/>
  <cols>
    <col min="1" max="1" width="5.140625" style="292" customWidth="1"/>
    <col min="2" max="2" width="6.5703125" style="284" customWidth="1"/>
    <col min="3" max="3" width="68.5703125" style="284" customWidth="1"/>
    <col min="4" max="5" width="16.5703125" style="284" customWidth="1"/>
    <col min="6" max="6" width="17.42578125" style="284" bestFit="1" customWidth="1"/>
    <col min="7" max="7" width="43.85546875" style="284" customWidth="1"/>
    <col min="8" max="8" width="5.140625" style="292" customWidth="1"/>
    <col min="9" max="9" width="4" style="284" customWidth="1"/>
    <col min="10" max="10" width="13.140625" style="284" bestFit="1" customWidth="1"/>
    <col min="11" max="11" width="9.140625" style="284"/>
    <col min="12" max="12" width="9.5703125" style="284" customWidth="1"/>
    <col min="13" max="13" width="10" style="284" customWidth="1"/>
    <col min="14" max="16384" width="9.140625" style="284"/>
  </cols>
  <sheetData>
    <row r="2" spans="1:13">
      <c r="B2" s="1298" t="s">
        <v>0</v>
      </c>
      <c r="C2" s="1298"/>
      <c r="D2" s="1298"/>
      <c r="E2" s="1298"/>
      <c r="F2" s="1298"/>
      <c r="G2" s="1298"/>
      <c r="H2" s="286"/>
    </row>
    <row r="3" spans="1:13">
      <c r="B3" s="1298" t="s">
        <v>531</v>
      </c>
      <c r="C3" s="1298"/>
      <c r="D3" s="1298"/>
      <c r="E3" s="1298"/>
      <c r="F3" s="1298"/>
      <c r="G3" s="1298"/>
      <c r="H3" s="286"/>
    </row>
    <row r="4" spans="1:13">
      <c r="B4" s="1298" t="str">
        <f>" 12 Months Ending December 31, "&amp;Automation!$B$3</f>
        <v xml:space="preserve"> 12 Months Ending December 31, 2024</v>
      </c>
      <c r="C4" s="1298"/>
      <c r="D4" s="1298"/>
      <c r="E4" s="1298"/>
      <c r="F4" s="1298"/>
      <c r="G4" s="1298"/>
      <c r="H4" s="286"/>
    </row>
    <row r="5" spans="1:13">
      <c r="B5" s="1299" t="s">
        <v>3</v>
      </c>
      <c r="C5" s="1299"/>
      <c r="D5" s="1299"/>
      <c r="E5" s="1299"/>
      <c r="F5" s="1299"/>
      <c r="G5" s="1299"/>
      <c r="H5" s="286"/>
      <c r="K5"/>
      <c r="L5"/>
      <c r="M5"/>
    </row>
    <row r="6" spans="1:13" ht="16.5" thickBot="1">
      <c r="D6" s="285"/>
      <c r="E6" s="285"/>
      <c r="F6" s="285"/>
      <c r="G6" s="285"/>
      <c r="J6" s="216"/>
    </row>
    <row r="7" spans="1:13">
      <c r="A7" s="286"/>
      <c r="B7" s="287"/>
      <c r="C7" s="288"/>
      <c r="D7" s="289" t="s">
        <v>77</v>
      </c>
      <c r="E7" s="290" t="s">
        <v>78</v>
      </c>
      <c r="F7" s="244" t="s">
        <v>890</v>
      </c>
      <c r="G7" s="291"/>
      <c r="H7" s="286"/>
    </row>
    <row r="8" spans="1:13">
      <c r="A8" s="292" t="s">
        <v>4</v>
      </c>
      <c r="B8" s="293" t="s">
        <v>375</v>
      </c>
      <c r="C8" s="294"/>
      <c r="D8" s="295" t="s">
        <v>80</v>
      </c>
      <c r="E8" s="286" t="s">
        <v>478</v>
      </c>
      <c r="F8" s="295" t="s">
        <v>80</v>
      </c>
      <c r="G8" s="296"/>
      <c r="H8" s="292" t="s">
        <v>4</v>
      </c>
    </row>
    <row r="9" spans="1:13" ht="16.5" thickBot="1">
      <c r="A9" s="292" t="s">
        <v>5</v>
      </c>
      <c r="B9" s="297" t="s">
        <v>479</v>
      </c>
      <c r="C9" s="298" t="s">
        <v>261</v>
      </c>
      <c r="D9" s="299" t="s">
        <v>480</v>
      </c>
      <c r="E9" s="298" t="s">
        <v>481</v>
      </c>
      <c r="F9" s="299" t="s">
        <v>482</v>
      </c>
      <c r="G9" s="300" t="s">
        <v>8</v>
      </c>
      <c r="H9" s="292" t="s">
        <v>5</v>
      </c>
      <c r="I9" s="292"/>
    </row>
    <row r="10" spans="1:13">
      <c r="B10" s="301"/>
      <c r="C10" s="302" t="s">
        <v>532</v>
      </c>
      <c r="D10" s="762"/>
      <c r="E10" s="1198"/>
      <c r="F10" s="303"/>
      <c r="G10" s="304"/>
    </row>
    <row r="11" spans="1:13">
      <c r="A11" s="292">
        <v>1</v>
      </c>
      <c r="B11" s="301">
        <v>920</v>
      </c>
      <c r="C11" s="305" t="s">
        <v>533</v>
      </c>
      <c r="D11" s="176">
        <v>58483.286459999996</v>
      </c>
      <c r="E11" s="176"/>
      <c r="F11" s="176">
        <f>D11-E11</f>
        <v>58483.286459999996</v>
      </c>
      <c r="G11" s="250" t="s">
        <v>955</v>
      </c>
      <c r="H11" s="292">
        <f>A11</f>
        <v>1</v>
      </c>
      <c r="I11" s="284" t="s">
        <v>185</v>
      </c>
      <c r="J11" s="163"/>
    </row>
    <row r="12" spans="1:13">
      <c r="A12" s="292">
        <f t="shared" ref="A12:A52" si="0">A11+1</f>
        <v>2</v>
      </c>
      <c r="B12" s="301">
        <v>921</v>
      </c>
      <c r="C12" s="305" t="s">
        <v>534</v>
      </c>
      <c r="D12" s="178">
        <v>30611.345249999995</v>
      </c>
      <c r="E12" s="178"/>
      <c r="F12" s="178">
        <f>D12-E12</f>
        <v>30611.345249999995</v>
      </c>
      <c r="G12" s="250" t="s">
        <v>956</v>
      </c>
      <c r="H12" s="292">
        <f t="shared" ref="H12:H52" si="1">H11+1</f>
        <v>2</v>
      </c>
      <c r="J12" s="163"/>
      <c r="K12" s="306"/>
    </row>
    <row r="13" spans="1:13">
      <c r="A13" s="292">
        <f t="shared" si="0"/>
        <v>3</v>
      </c>
      <c r="B13" s="301">
        <v>922</v>
      </c>
      <c r="C13" s="305" t="s">
        <v>535</v>
      </c>
      <c r="D13" s="178">
        <v>-12725.965599999998</v>
      </c>
      <c r="E13" s="178"/>
      <c r="F13" s="178">
        <f t="shared" ref="F13:F23" si="2">D13-E13</f>
        <v>-12725.965599999998</v>
      </c>
      <c r="G13" s="250" t="s">
        <v>957</v>
      </c>
      <c r="H13" s="292">
        <f t="shared" si="1"/>
        <v>3</v>
      </c>
      <c r="J13" s="163"/>
    </row>
    <row r="14" spans="1:13">
      <c r="A14" s="292">
        <f t="shared" si="0"/>
        <v>4</v>
      </c>
      <c r="B14" s="301">
        <v>923</v>
      </c>
      <c r="C14" s="305" t="s">
        <v>536</v>
      </c>
      <c r="D14" s="178">
        <v>114138.62359999999</v>
      </c>
      <c r="E14" s="178"/>
      <c r="F14" s="178">
        <f t="shared" si="2"/>
        <v>114138.62359999999</v>
      </c>
      <c r="G14" s="250" t="s">
        <v>958</v>
      </c>
      <c r="H14" s="292">
        <f t="shared" si="1"/>
        <v>4</v>
      </c>
      <c r="J14" s="163"/>
    </row>
    <row r="15" spans="1:13">
      <c r="A15" s="292">
        <f t="shared" si="0"/>
        <v>5</v>
      </c>
      <c r="B15" s="301">
        <v>924</v>
      </c>
      <c r="C15" s="305" t="s">
        <v>537</v>
      </c>
      <c r="D15" s="178">
        <v>10420.114649999998</v>
      </c>
      <c r="E15" s="178"/>
      <c r="F15" s="178">
        <f t="shared" si="2"/>
        <v>10420.114649999998</v>
      </c>
      <c r="G15" s="250" t="s">
        <v>959</v>
      </c>
      <c r="H15" s="292">
        <f t="shared" si="1"/>
        <v>5</v>
      </c>
      <c r="J15" s="163"/>
    </row>
    <row r="16" spans="1:13">
      <c r="A16" s="292">
        <f t="shared" si="0"/>
        <v>6</v>
      </c>
      <c r="B16" s="301">
        <v>925</v>
      </c>
      <c r="C16" s="305" t="s">
        <v>538</v>
      </c>
      <c r="D16" s="178">
        <v>186590.78707000002</v>
      </c>
      <c r="E16" s="178">
        <f>E34</f>
        <v>360.47882601000003</v>
      </c>
      <c r="F16" s="178">
        <f t="shared" si="2"/>
        <v>186230.30824399003</v>
      </c>
      <c r="G16" s="250" t="s">
        <v>960</v>
      </c>
      <c r="H16" s="292">
        <f t="shared" si="1"/>
        <v>6</v>
      </c>
      <c r="J16" s="163"/>
    </row>
    <row r="17" spans="1:10">
      <c r="A17" s="292">
        <f t="shared" si="0"/>
        <v>7</v>
      </c>
      <c r="B17" s="301">
        <v>926</v>
      </c>
      <c r="C17" s="305" t="s">
        <v>539</v>
      </c>
      <c r="D17" s="178">
        <v>50516.891340000002</v>
      </c>
      <c r="E17" s="178">
        <f>E35</f>
        <v>733.28385583300008</v>
      </c>
      <c r="F17" s="178">
        <f t="shared" si="2"/>
        <v>49783.607484167005</v>
      </c>
      <c r="G17" s="250" t="s">
        <v>961</v>
      </c>
      <c r="H17" s="292">
        <f t="shared" si="1"/>
        <v>7</v>
      </c>
      <c r="J17" s="307"/>
    </row>
    <row r="18" spans="1:10">
      <c r="A18" s="292">
        <f t="shared" si="0"/>
        <v>8</v>
      </c>
      <c r="B18" s="301">
        <v>927</v>
      </c>
      <c r="C18" s="305" t="s">
        <v>540</v>
      </c>
      <c r="D18" s="178">
        <v>112800.96351999999</v>
      </c>
      <c r="E18" s="178">
        <f>E36</f>
        <v>112800.96351999999</v>
      </c>
      <c r="F18" s="178">
        <f t="shared" si="2"/>
        <v>0</v>
      </c>
      <c r="G18" s="250" t="s">
        <v>962</v>
      </c>
      <c r="H18" s="292">
        <f t="shared" si="1"/>
        <v>8</v>
      </c>
      <c r="J18" s="307"/>
    </row>
    <row r="19" spans="1:10">
      <c r="A19" s="292">
        <f t="shared" si="0"/>
        <v>9</v>
      </c>
      <c r="B19" s="301">
        <v>928</v>
      </c>
      <c r="C19" s="305" t="s">
        <v>541</v>
      </c>
      <c r="D19" s="178">
        <v>31806.921970000003</v>
      </c>
      <c r="E19" s="178">
        <f>E41</f>
        <v>18977.245729999999</v>
      </c>
      <c r="F19" s="178">
        <f t="shared" si="2"/>
        <v>12829.676240000004</v>
      </c>
      <c r="G19" s="250" t="s">
        <v>963</v>
      </c>
      <c r="H19" s="292">
        <f t="shared" si="1"/>
        <v>9</v>
      </c>
      <c r="J19" s="307"/>
    </row>
    <row r="20" spans="1:10">
      <c r="A20" s="292">
        <f t="shared" si="0"/>
        <v>10</v>
      </c>
      <c r="B20" s="301">
        <v>929</v>
      </c>
      <c r="C20" s="305" t="s">
        <v>542</v>
      </c>
      <c r="D20" s="178">
        <v>-10043.44311</v>
      </c>
      <c r="E20" s="178">
        <f>E42</f>
        <v>0</v>
      </c>
      <c r="F20" s="178">
        <f t="shared" si="2"/>
        <v>-10043.44311</v>
      </c>
      <c r="G20" s="250" t="s">
        <v>964</v>
      </c>
      <c r="H20" s="292">
        <f t="shared" si="1"/>
        <v>10</v>
      </c>
      <c r="J20" s="163"/>
    </row>
    <row r="21" spans="1:10">
      <c r="A21" s="292">
        <f t="shared" si="0"/>
        <v>11</v>
      </c>
      <c r="B21" s="308">
        <v>930.1</v>
      </c>
      <c r="C21" s="305" t="s">
        <v>543</v>
      </c>
      <c r="D21" s="178">
        <v>31.128819999999994</v>
      </c>
      <c r="E21" s="178">
        <f>E43</f>
        <v>31.128819999999994</v>
      </c>
      <c r="F21" s="178">
        <f t="shared" si="2"/>
        <v>0</v>
      </c>
      <c r="G21" s="250" t="s">
        <v>965</v>
      </c>
      <c r="H21" s="292">
        <f t="shared" si="1"/>
        <v>11</v>
      </c>
      <c r="J21" s="163"/>
    </row>
    <row r="22" spans="1:10">
      <c r="A22" s="292">
        <f t="shared" si="0"/>
        <v>12</v>
      </c>
      <c r="B22" s="308">
        <v>930.2</v>
      </c>
      <c r="C22" s="305" t="s">
        <v>544</v>
      </c>
      <c r="D22" s="178">
        <v>1708.9586399999987</v>
      </c>
      <c r="E22" s="178">
        <f>E44</f>
        <v>278.70775000000003</v>
      </c>
      <c r="F22" s="178">
        <f t="shared" si="2"/>
        <v>1430.2508899999987</v>
      </c>
      <c r="G22" s="250" t="s">
        <v>966</v>
      </c>
      <c r="H22" s="292">
        <f t="shared" si="1"/>
        <v>12</v>
      </c>
      <c r="J22" s="309"/>
    </row>
    <row r="23" spans="1:10">
      <c r="A23" s="292">
        <f t="shared" si="0"/>
        <v>13</v>
      </c>
      <c r="B23" s="301">
        <v>931</v>
      </c>
      <c r="C23" s="305" t="s">
        <v>497</v>
      </c>
      <c r="D23" s="178">
        <v>14689.00957</v>
      </c>
      <c r="E23" s="178"/>
      <c r="F23" s="178">
        <f t="shared" si="2"/>
        <v>14689.00957</v>
      </c>
      <c r="G23" s="250" t="s">
        <v>967</v>
      </c>
      <c r="H23" s="292">
        <f t="shared" si="1"/>
        <v>13</v>
      </c>
      <c r="J23" s="163"/>
    </row>
    <row r="24" spans="1:10">
      <c r="A24" s="292">
        <f t="shared" si="0"/>
        <v>14</v>
      </c>
      <c r="B24" s="301">
        <v>935</v>
      </c>
      <c r="C24" s="305" t="s">
        <v>545</v>
      </c>
      <c r="D24" s="989">
        <v>19795.886430000002</v>
      </c>
      <c r="E24" s="989">
        <f>E45</f>
        <v>0</v>
      </c>
      <c r="F24" s="989">
        <f>D24-E24</f>
        <v>19795.886430000002</v>
      </c>
      <c r="G24" s="1237" t="s">
        <v>968</v>
      </c>
      <c r="H24" s="292">
        <f t="shared" si="1"/>
        <v>14</v>
      </c>
      <c r="I24" s="284" t="s">
        <v>185</v>
      </c>
      <c r="J24" s="163"/>
    </row>
    <row r="25" spans="1:10">
      <c r="A25" s="292">
        <f t="shared" si="0"/>
        <v>15</v>
      </c>
      <c r="B25" s="301"/>
      <c r="D25" s="310"/>
      <c r="E25" s="310"/>
      <c r="F25" s="310"/>
      <c r="G25" s="311"/>
      <c r="H25" s="292">
        <f t="shared" si="1"/>
        <v>15</v>
      </c>
    </row>
    <row r="26" spans="1:10" ht="16.5" thickBot="1">
      <c r="A26" s="292">
        <f t="shared" si="0"/>
        <v>16</v>
      </c>
      <c r="B26" s="301"/>
      <c r="C26" s="294" t="s">
        <v>546</v>
      </c>
      <c r="D26" s="312">
        <f>SUM(D11:D24)</f>
        <v>608824.5086099999</v>
      </c>
      <c r="E26" s="264">
        <f>SUM(E11:E24)</f>
        <v>133181.80850184301</v>
      </c>
      <c r="F26" s="264">
        <f>SUM(F11:F24)</f>
        <v>475642.70010815701</v>
      </c>
      <c r="G26" s="313" t="str">
        <f>"Sum Lines "&amp;A11&amp;" thru "&amp;A24</f>
        <v>Sum Lines 1 thru 14</v>
      </c>
      <c r="H26" s="292">
        <f t="shared" si="1"/>
        <v>16</v>
      </c>
    </row>
    <row r="27" spans="1:10" ht="16.5" thickTop="1">
      <c r="A27" s="292">
        <f t="shared" si="0"/>
        <v>17</v>
      </c>
      <c r="B27" s="301"/>
      <c r="C27" s="294"/>
      <c r="D27" s="234"/>
      <c r="E27" s="151"/>
      <c r="F27" s="276"/>
      <c r="G27" s="313"/>
      <c r="H27" s="292">
        <f t="shared" si="1"/>
        <v>17</v>
      </c>
    </row>
    <row r="28" spans="1:10" ht="18.75">
      <c r="A28" s="292">
        <f t="shared" si="0"/>
        <v>18</v>
      </c>
      <c r="B28" s="301">
        <v>413</v>
      </c>
      <c r="C28" s="284" t="s">
        <v>547</v>
      </c>
      <c r="D28" s="989">
        <v>242.49263999999999</v>
      </c>
      <c r="E28" s="993">
        <v>0</v>
      </c>
      <c r="F28" s="989">
        <f>D28-E28</f>
        <v>242.49263999999999</v>
      </c>
      <c r="G28" s="313"/>
      <c r="H28" s="292">
        <f t="shared" si="1"/>
        <v>18</v>
      </c>
    </row>
    <row r="29" spans="1:10">
      <c r="A29" s="292">
        <f t="shared" si="0"/>
        <v>19</v>
      </c>
      <c r="B29" s="301"/>
      <c r="C29" s="294"/>
      <c r="D29" s="234"/>
      <c r="E29" s="151"/>
      <c r="F29" s="276"/>
      <c r="G29" s="313"/>
      <c r="H29" s="292">
        <f t="shared" si="1"/>
        <v>19</v>
      </c>
    </row>
    <row r="30" spans="1:10" ht="16.5" thickBot="1">
      <c r="A30" s="292">
        <f t="shared" si="0"/>
        <v>20</v>
      </c>
      <c r="B30" s="301"/>
      <c r="C30" s="294" t="s">
        <v>548</v>
      </c>
      <c r="D30" s="312">
        <f>D26+D28</f>
        <v>609067.00124999986</v>
      </c>
      <c r="E30" s="151">
        <f>E26+E28</f>
        <v>133181.80850184301</v>
      </c>
      <c r="F30" s="276">
        <f>F26+F28</f>
        <v>475885.19274815702</v>
      </c>
      <c r="G30" s="313" t="str">
        <f>"Line "&amp;A26&amp;" + Line "&amp;A28</f>
        <v>Line 16 + Line 18</v>
      </c>
      <c r="H30" s="292">
        <f t="shared" si="1"/>
        <v>20</v>
      </c>
    </row>
    <row r="31" spans="1:10" ht="17.25" thickTop="1" thickBot="1">
      <c r="A31" s="292">
        <f t="shared" si="0"/>
        <v>21</v>
      </c>
      <c r="B31" s="314"/>
      <c r="C31" s="285"/>
      <c r="D31" s="315"/>
      <c r="E31" s="316"/>
      <c r="F31" s="316"/>
      <c r="G31" s="317"/>
      <c r="H31" s="292">
        <f t="shared" si="1"/>
        <v>21</v>
      </c>
    </row>
    <row r="32" spans="1:10">
      <c r="A32" s="292">
        <f t="shared" si="0"/>
        <v>22</v>
      </c>
      <c r="B32" s="318"/>
      <c r="D32" s="319"/>
      <c r="E32" s="320"/>
      <c r="F32" s="319"/>
      <c r="G32" s="311"/>
      <c r="H32" s="292">
        <f t="shared" si="1"/>
        <v>22</v>
      </c>
    </row>
    <row r="33" spans="1:21">
      <c r="A33" s="292">
        <f t="shared" si="0"/>
        <v>23</v>
      </c>
      <c r="B33" s="321" t="s">
        <v>549</v>
      </c>
      <c r="C33" s="292"/>
      <c r="D33" s="292"/>
      <c r="E33" s="292"/>
      <c r="F33" s="292"/>
      <c r="G33" s="311"/>
      <c r="H33" s="292">
        <f t="shared" si="1"/>
        <v>23</v>
      </c>
    </row>
    <row r="34" spans="1:21">
      <c r="A34" s="292">
        <f t="shared" si="0"/>
        <v>24</v>
      </c>
      <c r="B34" s="1225">
        <v>925</v>
      </c>
      <c r="C34" s="305" t="s">
        <v>918</v>
      </c>
      <c r="D34" s="714"/>
      <c r="E34" s="1226">
        <v>360.47882601000003</v>
      </c>
      <c r="F34" s="292"/>
      <c r="G34" s="311"/>
      <c r="H34" s="292">
        <f t="shared" si="1"/>
        <v>24</v>
      </c>
      <c r="J34"/>
      <c r="K34"/>
      <c r="L34"/>
      <c r="M34"/>
      <c r="N34"/>
      <c r="O34"/>
      <c r="P34"/>
      <c r="Q34"/>
      <c r="R34"/>
      <c r="S34"/>
      <c r="T34"/>
      <c r="U34"/>
    </row>
    <row r="35" spans="1:21">
      <c r="A35" s="292">
        <f t="shared" si="0"/>
        <v>25</v>
      </c>
      <c r="B35" s="1225">
        <v>926</v>
      </c>
      <c r="C35" s="911" t="s">
        <v>918</v>
      </c>
      <c r="D35"/>
      <c r="E35" s="1246">
        <v>733.28385583300008</v>
      </c>
      <c r="F35" s="292"/>
      <c r="G35" s="311"/>
      <c r="H35" s="292">
        <f t="shared" si="1"/>
        <v>25</v>
      </c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292">
        <f t="shared" si="0"/>
        <v>26</v>
      </c>
      <c r="B36" s="1227">
        <v>927</v>
      </c>
      <c r="C36" s="911" t="s">
        <v>540</v>
      </c>
      <c r="D36" s="1226"/>
      <c r="E36" s="1246">
        <v>112800.96351999999</v>
      </c>
      <c r="F36" s="292"/>
      <c r="G36" s="311"/>
      <c r="H36" s="292">
        <f t="shared" si="1"/>
        <v>26</v>
      </c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292">
        <f t="shared" si="0"/>
        <v>27</v>
      </c>
      <c r="B37" s="1225">
        <v>928</v>
      </c>
      <c r="C37" s="305" t="s">
        <v>919</v>
      </c>
      <c r="D37" s="1226">
        <v>17282.341769999999</v>
      </c>
      <c r="E37" s="292"/>
      <c r="F37" s="292"/>
      <c r="G37" s="311"/>
      <c r="H37" s="292">
        <f t="shared" si="1"/>
        <v>27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 s="292">
        <f t="shared" si="0"/>
        <v>28</v>
      </c>
      <c r="B38" s="1225"/>
      <c r="C38" s="305" t="s">
        <v>911</v>
      </c>
      <c r="D38" s="1226">
        <v>0</v>
      </c>
      <c r="E38" s="292"/>
      <c r="F38" s="292"/>
      <c r="G38" s="311"/>
      <c r="H38" s="292">
        <f t="shared" si="1"/>
        <v>28</v>
      </c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292">
        <f t="shared" si="0"/>
        <v>29</v>
      </c>
      <c r="B39" s="1225"/>
      <c r="C39" s="305" t="s">
        <v>918</v>
      </c>
      <c r="D39" s="1226">
        <v>526.86321999999996</v>
      </c>
      <c r="E39" s="292"/>
      <c r="F39" s="292"/>
      <c r="G39" s="311"/>
      <c r="H39" s="292">
        <f t="shared" si="1"/>
        <v>29</v>
      </c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292">
        <f t="shared" si="0"/>
        <v>30</v>
      </c>
      <c r="B40" s="1225"/>
      <c r="C40" s="910" t="s">
        <v>550</v>
      </c>
      <c r="D40" s="1248">
        <v>0</v>
      </c>
      <c r="E40" s="292"/>
      <c r="F40" s="292"/>
      <c r="G40" s="311"/>
      <c r="H40" s="292">
        <f t="shared" si="1"/>
        <v>30</v>
      </c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292">
        <f t="shared" si="0"/>
        <v>31</v>
      </c>
      <c r="B41" s="1225"/>
      <c r="C41" s="910" t="s">
        <v>551</v>
      </c>
      <c r="D41" s="1245">
        <v>1168.0407399999999</v>
      </c>
      <c r="E41" s="1226">
        <f>SUM(D37:D41)</f>
        <v>18977.245729999999</v>
      </c>
      <c r="F41" s="292"/>
      <c r="G41" s="311"/>
      <c r="H41" s="292">
        <f t="shared" si="1"/>
        <v>31</v>
      </c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 s="292">
        <f t="shared" si="0"/>
        <v>32</v>
      </c>
      <c r="B42" s="1225">
        <v>929</v>
      </c>
      <c r="C42" s="910" t="s">
        <v>1009</v>
      </c>
      <c r="D42" s="1226"/>
      <c r="E42" s="1226">
        <v>0</v>
      </c>
      <c r="F42" s="292"/>
      <c r="G42" s="311"/>
      <c r="H42" s="292">
        <f t="shared" si="1"/>
        <v>32</v>
      </c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 s="292">
        <f t="shared" si="0"/>
        <v>33</v>
      </c>
      <c r="B43" s="1228">
        <v>930.1</v>
      </c>
      <c r="C43" s="910" t="s">
        <v>543</v>
      </c>
      <c r="D43" s="1226"/>
      <c r="E43" s="1246">
        <v>31.128819999999994</v>
      </c>
      <c r="F43" s="292"/>
      <c r="G43" s="311"/>
      <c r="H43" s="292">
        <f t="shared" si="1"/>
        <v>33</v>
      </c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292">
        <f t="shared" si="0"/>
        <v>34</v>
      </c>
      <c r="B44" s="912">
        <v>930.2</v>
      </c>
      <c r="C44" s="911" t="s">
        <v>552</v>
      </c>
      <c r="D44" s="1246"/>
      <c r="E44" s="284">
        <v>278.70775000000003</v>
      </c>
      <c r="F44" s="292"/>
      <c r="G44" s="311"/>
      <c r="H44" s="292">
        <f t="shared" si="1"/>
        <v>34</v>
      </c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292">
        <f t="shared" si="0"/>
        <v>35</v>
      </c>
      <c r="B45" s="1225">
        <v>935</v>
      </c>
      <c r="C45" s="305" t="s">
        <v>553</v>
      </c>
      <c r="D45" s="1226"/>
      <c r="E45" s="1247">
        <v>0</v>
      </c>
      <c r="F45" s="292"/>
      <c r="G45" s="311"/>
      <c r="H45" s="292">
        <f t="shared" si="1"/>
        <v>35</v>
      </c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292">
        <f t="shared" si="0"/>
        <v>36</v>
      </c>
      <c r="B46" s="1225"/>
      <c r="C46" s="913"/>
      <c r="D46" s="1229"/>
      <c r="E46" s="464"/>
      <c r="F46" s="292"/>
      <c r="G46" s="311"/>
      <c r="H46" s="292">
        <f t="shared" si="1"/>
        <v>36</v>
      </c>
      <c r="J46"/>
      <c r="K46"/>
      <c r="L46"/>
      <c r="M46"/>
      <c r="N46"/>
      <c r="O46"/>
      <c r="P46"/>
      <c r="Q46"/>
      <c r="R46"/>
      <c r="S46"/>
      <c r="T46"/>
      <c r="U46"/>
    </row>
    <row r="47" spans="1:21" ht="16.5" thickBot="1">
      <c r="A47" s="292">
        <f t="shared" si="0"/>
        <v>37</v>
      </c>
      <c r="B47" s="318"/>
      <c r="C47" s="914" t="s">
        <v>526</v>
      </c>
      <c r="D47" s="915"/>
      <c r="E47" s="1230">
        <f>SUM(E34:E45)</f>
        <v>133181.80850184301</v>
      </c>
      <c r="F47" s="292"/>
      <c r="G47" s="311"/>
      <c r="H47" s="292">
        <f t="shared" si="1"/>
        <v>37</v>
      </c>
    </row>
    <row r="48" spans="1:21" ht="16.5" thickTop="1">
      <c r="A48" s="292">
        <f t="shared" si="0"/>
        <v>38</v>
      </c>
      <c r="B48" s="909"/>
      <c r="C48" s="911"/>
      <c r="D48" s="8"/>
      <c r="E48" s="8"/>
      <c r="G48" s="311"/>
      <c r="H48" s="292">
        <f t="shared" si="1"/>
        <v>38</v>
      </c>
    </row>
    <row r="49" spans="1:8">
      <c r="A49" s="292">
        <f t="shared" si="0"/>
        <v>39</v>
      </c>
      <c r="B49" s="318"/>
      <c r="C49" s="914"/>
      <c r="D49" s="915"/>
      <c r="E49" s="323"/>
      <c r="F49" s="237"/>
      <c r="G49" s="311"/>
      <c r="H49" s="292">
        <f t="shared" si="1"/>
        <v>39</v>
      </c>
    </row>
    <row r="50" spans="1:8" ht="18.75">
      <c r="A50" s="292">
        <f t="shared" si="0"/>
        <v>40</v>
      </c>
      <c r="B50" s="282">
        <v>1</v>
      </c>
      <c r="C50" s="61" t="str">
        <f>"This amount represents the Non-Direct A&amp;G expenses billed to Citizens in "&amp;Automation!B3&amp;", which is added back to derive Total Adjusted A&amp;G Expenses in SAP"</f>
        <v>This amount represents the Non-Direct A&amp;G expenses billed to Citizens in 2024, which is added back to derive Total Adjusted A&amp;G Expenses in SAP</v>
      </c>
      <c r="E50" s="323"/>
      <c r="F50" s="237"/>
      <c r="G50" s="311"/>
      <c r="H50" s="292">
        <f t="shared" si="1"/>
        <v>40</v>
      </c>
    </row>
    <row r="51" spans="1:8" ht="18.75">
      <c r="A51" s="292">
        <f t="shared" si="0"/>
        <v>41</v>
      </c>
      <c r="B51" s="808"/>
      <c r="C51" s="3" t="s">
        <v>554</v>
      </c>
      <c r="E51" s="323"/>
      <c r="F51" s="237"/>
      <c r="G51" s="311"/>
      <c r="H51" s="292">
        <f t="shared" si="1"/>
        <v>41</v>
      </c>
    </row>
    <row r="52" spans="1:8" ht="16.5" thickBot="1">
      <c r="A52" s="292">
        <f t="shared" si="0"/>
        <v>42</v>
      </c>
      <c r="B52" s="324"/>
      <c r="C52" s="325"/>
      <c r="D52" s="285"/>
      <c r="E52" s="285"/>
      <c r="F52" s="285"/>
      <c r="G52" s="317"/>
      <c r="H52" s="292">
        <f t="shared" si="1"/>
        <v>42</v>
      </c>
    </row>
    <row r="53" spans="1:8">
      <c r="C53" s="305"/>
    </row>
    <row r="54" spans="1:8">
      <c r="A54" s="286"/>
      <c r="C54" s="305"/>
      <c r="D54" s="326"/>
      <c r="E54" s="326"/>
    </row>
    <row r="55" spans="1:8" ht="18.75">
      <c r="A55" s="327"/>
      <c r="B55" s="135"/>
      <c r="C55" s="3"/>
      <c r="D55" s="63"/>
      <c r="E55" s="63"/>
      <c r="F55" s="63"/>
    </row>
    <row r="56" spans="1:8" ht="18.75">
      <c r="A56" s="327"/>
      <c r="B56" s="135"/>
      <c r="C56" s="16"/>
      <c r="D56" s="63"/>
      <c r="E56" s="63"/>
      <c r="F56" s="63"/>
    </row>
    <row r="57" spans="1:8" ht="18.75">
      <c r="A57" s="327"/>
      <c r="B57" s="247"/>
      <c r="C57" s="3"/>
      <c r="D57" s="3"/>
      <c r="E57" s="3"/>
      <c r="F57" s="3"/>
    </row>
    <row r="58" spans="1:8" ht="18.75">
      <c r="A58" s="327"/>
      <c r="C58" s="305"/>
    </row>
    <row r="59" spans="1:8" ht="18.75">
      <c r="A59" s="327"/>
      <c r="C59" s="305"/>
    </row>
    <row r="60" spans="1:8" ht="18.75">
      <c r="A60" s="327"/>
      <c r="C60" s="305"/>
    </row>
    <row r="61" spans="1:8">
      <c r="A61" s="286"/>
      <c r="C61" s="305"/>
    </row>
    <row r="62" spans="1:8" ht="18.75">
      <c r="A62" s="327"/>
      <c r="C62" s="305"/>
    </row>
    <row r="63" spans="1:8">
      <c r="A63" s="286"/>
      <c r="C63" s="305"/>
    </row>
    <row r="64" spans="1:8" ht="18.75">
      <c r="A64" s="327"/>
      <c r="C64" s="305"/>
    </row>
    <row r="65" spans="1:3">
      <c r="A65" s="286"/>
      <c r="C65" s="305"/>
    </row>
    <row r="66" spans="1:3" ht="18.75">
      <c r="A66" s="327"/>
      <c r="C66" s="305"/>
    </row>
    <row r="67" spans="1:3" ht="18.75">
      <c r="A67" s="327"/>
      <c r="B67" s="305"/>
    </row>
    <row r="68" spans="1:3" ht="18.75">
      <c r="A68" s="327"/>
      <c r="B68" s="305"/>
    </row>
    <row r="69" spans="1:3">
      <c r="B69" s="305"/>
    </row>
    <row r="70" spans="1:3" ht="18.75">
      <c r="A70" s="327"/>
      <c r="B70" s="305"/>
    </row>
    <row r="71" spans="1:3">
      <c r="A71" s="328"/>
      <c r="B71" s="329"/>
    </row>
    <row r="72" spans="1:3">
      <c r="B72" s="305"/>
    </row>
  </sheetData>
  <mergeCells count="4">
    <mergeCell ref="B2:G2"/>
    <mergeCell ref="B3:G3"/>
    <mergeCell ref="B4:G4"/>
    <mergeCell ref="B5:G5"/>
  </mergeCells>
  <printOptions horizontalCentered="1"/>
  <pageMargins left="0" right="0" top="0.25" bottom="0.5" header="0" footer="0.25"/>
  <pageSetup scale="59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M37"/>
  <sheetViews>
    <sheetView zoomScale="80" zoomScaleNormal="80" zoomScalePageLayoutView="80" workbookViewId="0">
      <selection activeCell="M36" sqref="M36"/>
    </sheetView>
  </sheetViews>
  <sheetFormatPr defaultColWidth="8.5703125" defaultRowHeight="15.75"/>
  <cols>
    <col min="1" max="1" width="5.140625" style="247" customWidth="1"/>
    <col min="2" max="2" width="64.5703125" style="216" customWidth="1"/>
    <col min="3" max="3" width="21.140625" style="216" customWidth="1"/>
    <col min="4" max="4" width="1.5703125" style="216" customWidth="1"/>
    <col min="5" max="5" width="16.5703125" style="216" customWidth="1"/>
    <col min="6" max="6" width="1.5703125" style="216" customWidth="1"/>
    <col min="7" max="7" width="34.5703125" style="216" customWidth="1"/>
    <col min="8" max="8" width="5.140625" style="216" customWidth="1"/>
    <col min="9" max="9" width="8.5703125" style="216"/>
    <col min="10" max="10" width="20.42578125" style="216" bestFit="1" customWidth="1"/>
    <col min="11" max="16384" width="8.5703125" style="216"/>
  </cols>
  <sheetData>
    <row r="1" spans="1:13">
      <c r="A1" s="551"/>
      <c r="E1" s="396"/>
      <c r="F1" s="395"/>
      <c r="G1" s="247"/>
      <c r="H1" s="247"/>
    </row>
    <row r="2" spans="1:13">
      <c r="B2" s="1281" t="s">
        <v>0</v>
      </c>
      <c r="C2" s="1281"/>
      <c r="D2" s="1281"/>
      <c r="E2" s="1281"/>
      <c r="F2" s="1281"/>
      <c r="G2" s="1281"/>
      <c r="H2" s="247"/>
    </row>
    <row r="3" spans="1:13">
      <c r="B3" s="1281" t="s">
        <v>555</v>
      </c>
      <c r="C3" s="1281"/>
      <c r="D3" s="1281"/>
      <c r="E3" s="1281"/>
      <c r="F3" s="1281"/>
      <c r="G3" s="1281"/>
      <c r="H3" s="247"/>
    </row>
    <row r="4" spans="1:13">
      <c r="B4" s="1281" t="s">
        <v>556</v>
      </c>
      <c r="C4" s="1281"/>
      <c r="D4" s="1281"/>
      <c r="E4" s="1281"/>
      <c r="F4" s="1281"/>
      <c r="G4" s="1281"/>
      <c r="H4" s="247"/>
    </row>
    <row r="5" spans="1:13">
      <c r="B5" s="1283" t="str">
        <f>'A. Sec.1 - Direct Maintenance'!B5</f>
        <v>Base Period &amp; True-Up Period 12 - Months Ending December 31, 2024</v>
      </c>
      <c r="C5" s="1283"/>
      <c r="D5" s="1283"/>
      <c r="E5" s="1283"/>
      <c r="F5" s="1283"/>
      <c r="G5" s="1283"/>
      <c r="H5" s="247"/>
    </row>
    <row r="6" spans="1:13">
      <c r="B6" s="1291" t="s">
        <v>3</v>
      </c>
      <c r="C6" s="1288"/>
      <c r="D6" s="1288"/>
      <c r="E6" s="1288"/>
      <c r="F6" s="1288"/>
      <c r="G6" s="1288"/>
      <c r="H6" s="247"/>
    </row>
    <row r="7" spans="1:13">
      <c r="B7" s="247"/>
      <c r="C7" s="247"/>
      <c r="D7" s="247"/>
      <c r="E7" s="247"/>
      <c r="F7" s="551"/>
      <c r="G7" s="247"/>
      <c r="H7" s="247"/>
      <c r="J7"/>
      <c r="K7"/>
      <c r="L7"/>
      <c r="M7"/>
    </row>
    <row r="8" spans="1:13">
      <c r="A8" s="247" t="s">
        <v>4</v>
      </c>
      <c r="B8" s="551"/>
      <c r="C8" s="247" t="s">
        <v>188</v>
      </c>
      <c r="D8" s="551"/>
      <c r="E8" s="551"/>
      <c r="F8" s="551"/>
      <c r="G8" s="247"/>
      <c r="H8" s="247" t="s">
        <v>4</v>
      </c>
      <c r="J8"/>
      <c r="K8"/>
      <c r="L8"/>
      <c r="M8"/>
    </row>
    <row r="9" spans="1:13">
      <c r="A9" s="247" t="s">
        <v>5</v>
      </c>
      <c r="C9" s="994" t="s">
        <v>190</v>
      </c>
      <c r="E9" s="995" t="s">
        <v>7</v>
      </c>
      <c r="F9" s="247"/>
      <c r="G9" s="994" t="s">
        <v>8</v>
      </c>
      <c r="H9" s="247" t="s">
        <v>5</v>
      </c>
      <c r="J9"/>
      <c r="K9"/>
      <c r="L9"/>
      <c r="M9"/>
    </row>
    <row r="10" spans="1:13">
      <c r="F10" s="247"/>
      <c r="G10" s="996"/>
      <c r="H10" s="247"/>
      <c r="J10"/>
      <c r="K10"/>
      <c r="L10"/>
      <c r="M10"/>
    </row>
    <row r="11" spans="1:13">
      <c r="A11" s="247">
        <v>1</v>
      </c>
      <c r="B11" s="3" t="s">
        <v>557</v>
      </c>
      <c r="C11" s="5" t="s">
        <v>969</v>
      </c>
      <c r="E11" s="394">
        <v>14390.282999999999</v>
      </c>
      <c r="F11" s="395"/>
      <c r="G11" s="5"/>
      <c r="H11" s="247">
        <f>A11</f>
        <v>1</v>
      </c>
      <c r="J11"/>
      <c r="K11"/>
      <c r="L11"/>
      <c r="M11"/>
    </row>
    <row r="12" spans="1:13">
      <c r="A12" s="247">
        <f>+A11+1</f>
        <v>2</v>
      </c>
      <c r="B12" s="3"/>
      <c r="C12" s="393"/>
      <c r="E12" s="396"/>
      <c r="F12" s="395"/>
      <c r="G12" s="5"/>
      <c r="H12" s="247">
        <f>+H11+1</f>
        <v>2</v>
      </c>
      <c r="J12"/>
      <c r="K12"/>
      <c r="L12"/>
      <c r="M12"/>
    </row>
    <row r="13" spans="1:13" ht="18.75">
      <c r="A13" s="247">
        <f t="shared" ref="A13:A27" si="0">+A12+1</f>
        <v>3</v>
      </c>
      <c r="B13" s="3" t="s">
        <v>558</v>
      </c>
      <c r="C13" s="393"/>
      <c r="E13" s="397">
        <f>33112.169-E15</f>
        <v>16731.1852</v>
      </c>
      <c r="F13" s="395"/>
      <c r="G13" s="5" t="str">
        <f>"AI-1; Line "&amp;'AI-1'!A59</f>
        <v>AI-1; Line 50</v>
      </c>
      <c r="H13" s="247">
        <f t="shared" ref="H13:H27" si="1">+H12+1</f>
        <v>3</v>
      </c>
      <c r="J13"/>
      <c r="K13"/>
      <c r="L13"/>
      <c r="M13"/>
    </row>
    <row r="14" spans="1:13">
      <c r="A14" s="247">
        <f t="shared" si="0"/>
        <v>4</v>
      </c>
      <c r="B14" s="3"/>
      <c r="C14" s="393"/>
      <c r="E14" s="398"/>
      <c r="F14" s="395"/>
      <c r="G14" s="5"/>
      <c r="H14" s="247">
        <f t="shared" si="1"/>
        <v>4</v>
      </c>
      <c r="J14"/>
      <c r="K14"/>
      <c r="L14"/>
      <c r="M14"/>
    </row>
    <row r="15" spans="1:13" ht="18.75">
      <c r="A15" s="247">
        <f t="shared" si="0"/>
        <v>5</v>
      </c>
      <c r="B15" s="3" t="s">
        <v>559</v>
      </c>
      <c r="C15" s="393"/>
      <c r="E15" s="397">
        <f>'AI-1'!E57</f>
        <v>16380.9838</v>
      </c>
      <c r="F15" s="395"/>
      <c r="G15" s="5" t="str">
        <f>"AI-1; Line "&amp;'AI-1'!A57</f>
        <v>AI-1; Line 48</v>
      </c>
      <c r="H15" s="247">
        <f t="shared" si="1"/>
        <v>5</v>
      </c>
      <c r="J15"/>
      <c r="K15"/>
      <c r="L15"/>
      <c r="M15"/>
    </row>
    <row r="16" spans="1:13">
      <c r="A16" s="247">
        <f t="shared" si="0"/>
        <v>6</v>
      </c>
      <c r="B16" s="3"/>
      <c r="C16" s="393"/>
      <c r="E16" s="398"/>
      <c r="F16" s="395"/>
      <c r="G16" s="5"/>
      <c r="H16" s="247">
        <f t="shared" si="1"/>
        <v>6</v>
      </c>
      <c r="K16" s="393"/>
    </row>
    <row r="17" spans="1:11">
      <c r="A17" s="247">
        <f t="shared" si="0"/>
        <v>7</v>
      </c>
      <c r="B17" s="3" t="s">
        <v>560</v>
      </c>
      <c r="C17" s="5" t="s">
        <v>970</v>
      </c>
      <c r="E17" s="397">
        <v>82510.224000000002</v>
      </c>
      <c r="F17" s="395"/>
      <c r="G17" s="5"/>
      <c r="H17" s="247">
        <f t="shared" si="1"/>
        <v>7</v>
      </c>
      <c r="K17" s="393"/>
    </row>
    <row r="18" spans="1:11">
      <c r="A18" s="247">
        <f t="shared" si="0"/>
        <v>8</v>
      </c>
      <c r="B18" s="3"/>
      <c r="C18" s="5"/>
      <c r="E18" s="398"/>
      <c r="F18" s="395"/>
      <c r="G18" s="5"/>
      <c r="H18" s="247">
        <f t="shared" si="1"/>
        <v>8</v>
      </c>
      <c r="K18" s="393"/>
    </row>
    <row r="19" spans="1:11">
      <c r="A19" s="247">
        <f t="shared" si="0"/>
        <v>9</v>
      </c>
      <c r="B19" s="3" t="s">
        <v>561</v>
      </c>
      <c r="C19" s="5" t="s">
        <v>971</v>
      </c>
      <c r="E19" s="397">
        <v>12389.382</v>
      </c>
      <c r="F19" s="395"/>
      <c r="G19" s="5"/>
      <c r="H19" s="247">
        <f t="shared" si="1"/>
        <v>9</v>
      </c>
      <c r="K19" s="393"/>
    </row>
    <row r="20" spans="1:11">
      <c r="A20" s="247">
        <f t="shared" si="0"/>
        <v>10</v>
      </c>
      <c r="B20" s="3"/>
      <c r="C20" s="5"/>
      <c r="E20" s="399"/>
      <c r="F20" s="395"/>
      <c r="G20" s="5"/>
      <c r="H20" s="247">
        <f t="shared" si="1"/>
        <v>10</v>
      </c>
      <c r="K20" s="393"/>
    </row>
    <row r="21" spans="1:11">
      <c r="A21" s="247">
        <f t="shared" si="0"/>
        <v>11</v>
      </c>
      <c r="B21" s="3" t="s">
        <v>562</v>
      </c>
      <c r="C21" s="5" t="s">
        <v>972</v>
      </c>
      <c r="E21" s="345">
        <v>17676.364000000001</v>
      </c>
      <c r="F21" s="395"/>
      <c r="G21" s="5"/>
      <c r="H21" s="247">
        <f t="shared" si="1"/>
        <v>11</v>
      </c>
      <c r="K21" s="393"/>
    </row>
    <row r="22" spans="1:11">
      <c r="A22" s="247">
        <f t="shared" si="0"/>
        <v>12</v>
      </c>
      <c r="B22" s="3"/>
      <c r="C22" s="5"/>
      <c r="E22" s="396"/>
      <c r="F22" s="395"/>
      <c r="G22" s="5"/>
      <c r="H22" s="247">
        <f t="shared" si="1"/>
        <v>12</v>
      </c>
    </row>
    <row r="23" spans="1:11">
      <c r="A23" s="247">
        <f t="shared" si="0"/>
        <v>13</v>
      </c>
      <c r="B23" s="3" t="s">
        <v>563</v>
      </c>
      <c r="C23" s="5" t="s">
        <v>973</v>
      </c>
      <c r="E23" s="997">
        <v>0</v>
      </c>
      <c r="F23" s="395"/>
      <c r="G23" s="5"/>
      <c r="H23" s="247">
        <f t="shared" si="1"/>
        <v>13</v>
      </c>
    </row>
    <row r="24" spans="1:11">
      <c r="A24" s="247">
        <f t="shared" si="0"/>
        <v>14</v>
      </c>
      <c r="B24" s="3"/>
      <c r="E24" s="400"/>
      <c r="F24" s="395"/>
      <c r="G24" s="5"/>
      <c r="H24" s="247">
        <f t="shared" si="1"/>
        <v>14</v>
      </c>
    </row>
    <row r="25" spans="1:11" ht="16.5" thickBot="1">
      <c r="A25" s="247">
        <f t="shared" si="0"/>
        <v>15</v>
      </c>
      <c r="B25" s="3" t="s">
        <v>564</v>
      </c>
      <c r="E25" s="1161">
        <f>SUM(E11:E23)</f>
        <v>160078.42200000002</v>
      </c>
      <c r="F25" s="395"/>
      <c r="G25" s="66" t="str">
        <f>"Sum Lines "&amp;A11&amp;" thru "&amp;A23</f>
        <v>Sum Lines 1 thru 13</v>
      </c>
      <c r="H25" s="247">
        <f t="shared" si="1"/>
        <v>15</v>
      </c>
      <c r="J25" s="907"/>
    </row>
    <row r="26" spans="1:11" ht="16.5" thickTop="1">
      <c r="A26" s="247">
        <f t="shared" si="0"/>
        <v>16</v>
      </c>
      <c r="B26" s="3"/>
      <c r="E26" s="400"/>
      <c r="F26" s="395"/>
      <c r="G26" s="66"/>
      <c r="H26" s="247">
        <f t="shared" si="1"/>
        <v>16</v>
      </c>
    </row>
    <row r="27" spans="1:11" ht="16.5" thickBot="1">
      <c r="A27" s="247">
        <f t="shared" si="0"/>
        <v>17</v>
      </c>
      <c r="B27" s="216" t="s">
        <v>197</v>
      </c>
      <c r="E27" s="1162">
        <f>E13/E25</f>
        <v>0.1045186789759834</v>
      </c>
      <c r="F27" s="402"/>
      <c r="G27" s="4" t="str">
        <f>"Line "&amp;A13&amp;" / Line "&amp;A25</f>
        <v>Line 3 / Line 15</v>
      </c>
      <c r="H27" s="247">
        <f t="shared" si="1"/>
        <v>17</v>
      </c>
    </row>
    <row r="28" spans="1:11" ht="16.5" thickTop="1">
      <c r="E28" s="403"/>
      <c r="F28" s="402"/>
      <c r="G28" s="247"/>
      <c r="H28" s="247"/>
    </row>
    <row r="29" spans="1:11">
      <c r="E29" s="403"/>
      <c r="F29" s="402"/>
      <c r="G29" s="401"/>
      <c r="H29" s="247"/>
    </row>
    <row r="30" spans="1:11" ht="18.75">
      <c r="A30" s="404">
        <v>1</v>
      </c>
      <c r="B30" s="3" t="s">
        <v>565</v>
      </c>
      <c r="E30" s="403"/>
      <c r="F30" s="402"/>
      <c r="G30" s="247"/>
      <c r="H30" s="247"/>
    </row>
    <row r="31" spans="1:11" ht="18.75">
      <c r="A31" s="404">
        <v>2</v>
      </c>
      <c r="B31" s="3" t="s">
        <v>566</v>
      </c>
    </row>
    <row r="32" spans="1:11" ht="18.75">
      <c r="A32" s="67"/>
      <c r="B32" s="3"/>
    </row>
    <row r="33" spans="1:2">
      <c r="A33" s="4"/>
      <c r="B33" s="3"/>
    </row>
    <row r="34" spans="1:2">
      <c r="B34" s="3"/>
    </row>
    <row r="35" spans="1:2">
      <c r="B35" s="3"/>
    </row>
    <row r="36" spans="1:2">
      <c r="B36" s="3"/>
    </row>
    <row r="37" spans="1:2">
      <c r="B37" s="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3" orientation="portrait" r:id="rId1"/>
  <headerFooter scaleWithDoc="0">
    <oddFooter>&amp;C&amp;"Times New Roman,Regular"&amp;10AI</oddFooter>
  </headerFooter>
  <customProperties>
    <customPr name="_pios_id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M66"/>
  <sheetViews>
    <sheetView topLeftCell="A12" zoomScale="80" zoomScaleNormal="80" workbookViewId="0">
      <selection activeCell="I55" sqref="I55"/>
    </sheetView>
  </sheetViews>
  <sheetFormatPr defaultColWidth="8.5703125" defaultRowHeight="15.75"/>
  <cols>
    <col min="1" max="1" width="5.140625" style="104" bestFit="1" customWidth="1"/>
    <col min="2" max="2" width="11.140625" style="13" customWidth="1"/>
    <col min="3" max="3" width="69.42578125" style="13" customWidth="1"/>
    <col min="4" max="5" width="18.5703125" style="13" customWidth="1"/>
    <col min="6" max="6" width="5.140625" style="104" bestFit="1" customWidth="1"/>
    <col min="7" max="16384" width="8.5703125" style="13"/>
  </cols>
  <sheetData>
    <row r="2" spans="1:13">
      <c r="B2" s="1287" t="s">
        <v>0</v>
      </c>
      <c r="C2" s="1287"/>
      <c r="D2" s="1287"/>
      <c r="E2" s="1287"/>
      <c r="F2" s="110"/>
    </row>
    <row r="3" spans="1:13">
      <c r="B3" s="1281" t="s">
        <v>567</v>
      </c>
      <c r="C3" s="1281"/>
      <c r="D3" s="1281"/>
      <c r="E3" s="1281"/>
      <c r="F3" s="237"/>
      <c r="G3" s="237"/>
      <c r="I3"/>
      <c r="J3"/>
      <c r="K3"/>
      <c r="L3"/>
      <c r="M3"/>
    </row>
    <row r="4" spans="1:13">
      <c r="B4" s="1268" t="s">
        <v>568</v>
      </c>
      <c r="C4" s="1268"/>
      <c r="D4" s="1268"/>
      <c r="E4" s="1268"/>
      <c r="I4" s="809"/>
    </row>
    <row r="5" spans="1:13">
      <c r="B5" s="1268" t="str">
        <f>" 12 Months Ending December 31, "&amp;Automation!$B$3</f>
        <v xml:space="preserve"> 12 Months Ending December 31, 2024</v>
      </c>
      <c r="C5" s="1268"/>
      <c r="D5" s="1268"/>
      <c r="E5" s="1268"/>
    </row>
    <row r="6" spans="1:13">
      <c r="B6" s="1291" t="s">
        <v>3</v>
      </c>
      <c r="C6" s="1291"/>
      <c r="D6" s="1291"/>
      <c r="E6" s="1291"/>
      <c r="F6" s="110"/>
      <c r="G6" s="110"/>
    </row>
    <row r="7" spans="1:13" ht="16.5" thickBot="1">
      <c r="B7" s="77"/>
      <c r="C7" s="77"/>
      <c r="D7" s="77"/>
    </row>
    <row r="8" spans="1:13">
      <c r="A8" s="582" t="s">
        <v>4</v>
      </c>
      <c r="B8" s="585" t="s">
        <v>569</v>
      </c>
      <c r="C8" s="586"/>
      <c r="D8" s="587"/>
      <c r="E8" s="405"/>
      <c r="F8" s="583" t="s">
        <v>4</v>
      </c>
    </row>
    <row r="9" spans="1:13" ht="18.75">
      <c r="A9" s="582" t="s">
        <v>5</v>
      </c>
      <c r="B9" s="1192" t="s">
        <v>260</v>
      </c>
      <c r="C9" s="998" t="s">
        <v>261</v>
      </c>
      <c r="D9" s="999" t="s">
        <v>570</v>
      </c>
      <c r="E9" s="1000" t="s">
        <v>571</v>
      </c>
      <c r="F9" s="583" t="s">
        <v>5</v>
      </c>
    </row>
    <row r="10" spans="1:13">
      <c r="A10" s="582">
        <v>1</v>
      </c>
      <c r="B10" s="1195" t="s">
        <v>885</v>
      </c>
      <c r="C10" s="1196" t="s">
        <v>886</v>
      </c>
      <c r="D10" s="1197">
        <v>4.5037000000000003</v>
      </c>
      <c r="E10" s="1194"/>
      <c r="F10" s="583">
        <f>A10</f>
        <v>1</v>
      </c>
    </row>
    <row r="11" spans="1:13">
      <c r="A11" s="582">
        <f>A10+1</f>
        <v>2</v>
      </c>
      <c r="B11" s="406" t="s">
        <v>572</v>
      </c>
      <c r="C11" s="83" t="s">
        <v>573</v>
      </c>
      <c r="D11" s="257">
        <v>4718.4032999999999</v>
      </c>
      <c r="E11" s="917"/>
      <c r="F11" s="583">
        <f>A11</f>
        <v>2</v>
      </c>
      <c r="H11" s="902"/>
      <c r="I11" s="902"/>
      <c r="J11" s="919"/>
    </row>
    <row r="12" spans="1:13">
      <c r="A12" s="582">
        <f t="shared" ref="A12:A60" si="0">A11+1</f>
        <v>3</v>
      </c>
      <c r="B12" s="406" t="s">
        <v>574</v>
      </c>
      <c r="C12" s="83" t="s">
        <v>575</v>
      </c>
      <c r="D12" s="257">
        <v>421.54129999999998</v>
      </c>
      <c r="E12" s="917"/>
      <c r="F12" s="583">
        <f t="shared" ref="F12:F60" si="1">A12</f>
        <v>3</v>
      </c>
      <c r="H12" s="902"/>
      <c r="I12" s="902"/>
      <c r="J12" s="919"/>
    </row>
    <row r="13" spans="1:13">
      <c r="A13" s="582">
        <f t="shared" si="0"/>
        <v>4</v>
      </c>
      <c r="B13" s="406" t="s">
        <v>576</v>
      </c>
      <c r="C13" s="83" t="s">
        <v>577</v>
      </c>
      <c r="D13" s="639">
        <v>1502.0640000000001</v>
      </c>
      <c r="E13" s="917"/>
      <c r="F13" s="583">
        <f t="shared" si="1"/>
        <v>4</v>
      </c>
      <c r="H13" s="902"/>
      <c r="I13" s="902"/>
      <c r="J13" s="919"/>
    </row>
    <row r="14" spans="1:13">
      <c r="A14" s="582">
        <f t="shared" si="0"/>
        <v>5</v>
      </c>
      <c r="B14" s="406" t="s">
        <v>578</v>
      </c>
      <c r="C14" s="83" t="s">
        <v>579</v>
      </c>
      <c r="D14" s="639">
        <v>432.3451</v>
      </c>
      <c r="E14" s="917"/>
      <c r="F14" s="583">
        <f t="shared" si="1"/>
        <v>5</v>
      </c>
      <c r="H14" s="902"/>
      <c r="I14" s="902"/>
      <c r="J14" s="919"/>
    </row>
    <row r="15" spans="1:13">
      <c r="A15" s="582">
        <f t="shared" si="0"/>
        <v>6</v>
      </c>
      <c r="B15" s="406" t="s">
        <v>580</v>
      </c>
      <c r="C15" s="83" t="s">
        <v>581</v>
      </c>
      <c r="D15" s="639">
        <v>1126.9893999999999</v>
      </c>
      <c r="E15" s="917"/>
      <c r="F15" s="583">
        <f t="shared" si="1"/>
        <v>6</v>
      </c>
      <c r="H15" s="902"/>
      <c r="I15" s="902"/>
      <c r="J15" s="919"/>
    </row>
    <row r="16" spans="1:13">
      <c r="A16" s="582">
        <f t="shared" si="0"/>
        <v>7</v>
      </c>
      <c r="B16" s="407" t="s">
        <v>582</v>
      </c>
      <c r="C16" s="83" t="s">
        <v>583</v>
      </c>
      <c r="D16" s="639">
        <v>257.1662</v>
      </c>
      <c r="E16" s="917"/>
      <c r="F16" s="583">
        <f t="shared" si="1"/>
        <v>7</v>
      </c>
      <c r="H16" s="903"/>
      <c r="I16" s="903"/>
      <c r="J16" s="919"/>
    </row>
    <row r="17" spans="1:10">
      <c r="A17" s="582">
        <f t="shared" si="0"/>
        <v>8</v>
      </c>
      <c r="B17" s="407" t="s">
        <v>584</v>
      </c>
      <c r="C17" s="83" t="s">
        <v>585</v>
      </c>
      <c r="D17" s="639">
        <v>0</v>
      </c>
      <c r="E17" s="917"/>
      <c r="F17" s="583">
        <f t="shared" si="1"/>
        <v>8</v>
      </c>
      <c r="H17" s="903"/>
      <c r="I17" s="903"/>
      <c r="J17" s="919"/>
    </row>
    <row r="18" spans="1:10">
      <c r="A18" s="582">
        <f t="shared" si="0"/>
        <v>9</v>
      </c>
      <c r="B18" s="407" t="s">
        <v>586</v>
      </c>
      <c r="C18" s="83" t="s">
        <v>587</v>
      </c>
      <c r="D18" s="639">
        <v>70.938600000000008</v>
      </c>
      <c r="E18" s="917"/>
      <c r="F18" s="583">
        <f t="shared" si="1"/>
        <v>9</v>
      </c>
      <c r="H18" s="903"/>
      <c r="I18" s="903"/>
      <c r="J18" s="919"/>
    </row>
    <row r="19" spans="1:10">
      <c r="A19" s="582">
        <f t="shared" si="0"/>
        <v>10</v>
      </c>
      <c r="B19" s="406" t="s">
        <v>588</v>
      </c>
      <c r="C19" s="83" t="s">
        <v>589</v>
      </c>
      <c r="D19" s="639">
        <v>0</v>
      </c>
      <c r="E19" s="918"/>
      <c r="F19" s="583">
        <f t="shared" si="1"/>
        <v>10</v>
      </c>
      <c r="H19" s="902"/>
      <c r="I19" s="902"/>
      <c r="J19" s="919"/>
    </row>
    <row r="20" spans="1:10">
      <c r="A20" s="582">
        <f t="shared" si="0"/>
        <v>11</v>
      </c>
      <c r="B20" s="407" t="s">
        <v>590</v>
      </c>
      <c r="C20" s="83" t="s">
        <v>591</v>
      </c>
      <c r="D20" s="639">
        <v>0</v>
      </c>
      <c r="E20" s="918"/>
      <c r="F20" s="583">
        <f t="shared" si="1"/>
        <v>11</v>
      </c>
      <c r="H20" s="903"/>
      <c r="I20" s="903"/>
      <c r="J20" s="919"/>
    </row>
    <row r="21" spans="1:10">
      <c r="A21" s="582">
        <f t="shared" si="0"/>
        <v>12</v>
      </c>
      <c r="B21" s="407" t="s">
        <v>592</v>
      </c>
      <c r="C21" s="83" t="s">
        <v>593</v>
      </c>
      <c r="D21" s="639">
        <v>747.70600000000002</v>
      </c>
      <c r="E21" s="918"/>
      <c r="F21" s="583">
        <f t="shared" si="1"/>
        <v>12</v>
      </c>
      <c r="H21" s="903"/>
      <c r="I21" s="903"/>
      <c r="J21" s="919"/>
    </row>
    <row r="22" spans="1:10">
      <c r="A22" s="582">
        <f t="shared" si="0"/>
        <v>13</v>
      </c>
      <c r="B22" s="406" t="s">
        <v>594</v>
      </c>
      <c r="C22" s="83" t="s">
        <v>595</v>
      </c>
      <c r="D22" s="639">
        <v>145.89089999999999</v>
      </c>
      <c r="E22" s="1001">
        <f>D22</f>
        <v>145.89089999999999</v>
      </c>
      <c r="F22" s="583">
        <f t="shared" si="1"/>
        <v>13</v>
      </c>
      <c r="H22" s="902"/>
      <c r="I22" s="902"/>
      <c r="J22" s="919"/>
    </row>
    <row r="23" spans="1:10">
      <c r="A23" s="582">
        <f t="shared" si="0"/>
        <v>14</v>
      </c>
      <c r="B23" s="406" t="s">
        <v>596</v>
      </c>
      <c r="C23" s="83" t="s">
        <v>597</v>
      </c>
      <c r="D23" s="639">
        <v>2240.3987999999999</v>
      </c>
      <c r="E23" s="1002">
        <f>D23</f>
        <v>2240.3987999999999</v>
      </c>
      <c r="F23" s="583">
        <f t="shared" si="1"/>
        <v>14</v>
      </c>
      <c r="H23" s="902"/>
      <c r="I23" s="902"/>
      <c r="J23" s="919"/>
    </row>
    <row r="24" spans="1:10">
      <c r="A24" s="582">
        <f t="shared" si="0"/>
        <v>15</v>
      </c>
      <c r="B24" s="406" t="s">
        <v>598</v>
      </c>
      <c r="C24" s="83" t="s">
        <v>599</v>
      </c>
      <c r="D24" s="639">
        <v>0</v>
      </c>
      <c r="E24" s="1002">
        <f>D24</f>
        <v>0</v>
      </c>
      <c r="F24" s="583">
        <f t="shared" si="1"/>
        <v>15</v>
      </c>
      <c r="H24" s="902"/>
      <c r="I24" s="902"/>
      <c r="J24" s="919"/>
    </row>
    <row r="25" spans="1:10">
      <c r="A25" s="582">
        <f t="shared" si="0"/>
        <v>16</v>
      </c>
      <c r="B25" s="406" t="s">
        <v>600</v>
      </c>
      <c r="C25" s="83" t="s">
        <v>601</v>
      </c>
      <c r="D25" s="639">
        <v>1088.0515</v>
      </c>
      <c r="E25" s="1002">
        <f>D25</f>
        <v>1088.0515</v>
      </c>
      <c r="F25" s="583">
        <f t="shared" si="1"/>
        <v>16</v>
      </c>
      <c r="H25" s="902"/>
      <c r="I25" s="902"/>
      <c r="J25" s="919"/>
    </row>
    <row r="26" spans="1:10">
      <c r="A26" s="582">
        <f t="shared" si="0"/>
        <v>17</v>
      </c>
      <c r="B26" s="406" t="s">
        <v>602</v>
      </c>
      <c r="C26" s="83" t="s">
        <v>603</v>
      </c>
      <c r="D26" s="639">
        <v>0</v>
      </c>
      <c r="E26" s="1002">
        <f>D26</f>
        <v>0</v>
      </c>
      <c r="F26" s="583">
        <f t="shared" si="1"/>
        <v>17</v>
      </c>
      <c r="H26" s="902"/>
      <c r="I26" s="902"/>
      <c r="J26" s="919"/>
    </row>
    <row r="27" spans="1:10">
      <c r="A27" s="582">
        <f t="shared" si="0"/>
        <v>18</v>
      </c>
      <c r="B27" s="407" t="s">
        <v>604</v>
      </c>
      <c r="C27" s="83" t="s">
        <v>605</v>
      </c>
      <c r="D27" s="639">
        <v>3.4596999999999998</v>
      </c>
      <c r="E27" s="1002"/>
      <c r="F27" s="583">
        <f t="shared" si="1"/>
        <v>18</v>
      </c>
      <c r="H27" s="903"/>
      <c r="I27" s="903"/>
      <c r="J27" s="919"/>
    </row>
    <row r="28" spans="1:10">
      <c r="A28" s="582">
        <f t="shared" si="0"/>
        <v>19</v>
      </c>
      <c r="B28" s="406" t="s">
        <v>606</v>
      </c>
      <c r="C28" s="83" t="s">
        <v>607</v>
      </c>
      <c r="D28" s="639">
        <v>3876.8897000000002</v>
      </c>
      <c r="E28" s="917"/>
      <c r="F28" s="583">
        <f t="shared" si="1"/>
        <v>19</v>
      </c>
      <c r="H28" s="902"/>
      <c r="I28" s="902"/>
      <c r="J28" s="919"/>
    </row>
    <row r="29" spans="1:10">
      <c r="A29" s="582">
        <f t="shared" si="0"/>
        <v>20</v>
      </c>
      <c r="B29" s="406" t="s">
        <v>608</v>
      </c>
      <c r="C29" s="83" t="s">
        <v>609</v>
      </c>
      <c r="D29" s="639">
        <v>0</v>
      </c>
      <c r="E29" s="917"/>
      <c r="F29" s="583">
        <f t="shared" si="1"/>
        <v>20</v>
      </c>
      <c r="H29" s="902"/>
      <c r="I29" s="902"/>
      <c r="J29" s="919"/>
    </row>
    <row r="30" spans="1:10">
      <c r="A30" s="582">
        <f t="shared" si="0"/>
        <v>21</v>
      </c>
      <c r="B30" s="406" t="s">
        <v>610</v>
      </c>
      <c r="C30" s="83" t="s">
        <v>611</v>
      </c>
      <c r="D30" s="639">
        <v>0</v>
      </c>
      <c r="E30" s="917"/>
      <c r="F30" s="583">
        <f t="shared" si="1"/>
        <v>21</v>
      </c>
      <c r="H30" s="902"/>
      <c r="I30" s="902"/>
      <c r="J30" s="919"/>
    </row>
    <row r="31" spans="1:10">
      <c r="A31" s="582">
        <f t="shared" si="0"/>
        <v>22</v>
      </c>
      <c r="B31" s="406" t="s">
        <v>612</v>
      </c>
      <c r="C31" s="83" t="s">
        <v>613</v>
      </c>
      <c r="D31" s="639">
        <v>1247.2889</v>
      </c>
      <c r="E31" s="917"/>
      <c r="F31" s="583">
        <f t="shared" si="1"/>
        <v>22</v>
      </c>
      <c r="H31" s="902"/>
      <c r="I31" s="902"/>
      <c r="J31" s="919"/>
    </row>
    <row r="32" spans="1:10">
      <c r="A32" s="582">
        <f t="shared" si="0"/>
        <v>23</v>
      </c>
      <c r="B32" s="406" t="s">
        <v>614</v>
      </c>
      <c r="C32" s="83" t="s">
        <v>615</v>
      </c>
      <c r="D32" s="639">
        <v>129.92689999999999</v>
      </c>
      <c r="E32" s="917"/>
      <c r="F32" s="583">
        <f t="shared" si="1"/>
        <v>23</v>
      </c>
      <c r="H32" s="902"/>
      <c r="I32" s="902"/>
      <c r="J32" s="919"/>
    </row>
    <row r="33" spans="1:10">
      <c r="A33" s="582">
        <f t="shared" si="0"/>
        <v>24</v>
      </c>
      <c r="B33" s="407" t="s">
        <v>616</v>
      </c>
      <c r="C33" s="83" t="s">
        <v>617</v>
      </c>
      <c r="D33" s="178">
        <v>49.502099999999999</v>
      </c>
      <c r="E33" s="917"/>
      <c r="F33" s="583">
        <f t="shared" si="1"/>
        <v>24</v>
      </c>
      <c r="H33" s="903"/>
      <c r="I33" s="903"/>
      <c r="J33" s="919"/>
    </row>
    <row r="34" spans="1:10">
      <c r="A34" s="582">
        <f t="shared" si="0"/>
        <v>25</v>
      </c>
      <c r="B34" s="406" t="s">
        <v>618</v>
      </c>
      <c r="C34" s="83" t="s">
        <v>619</v>
      </c>
      <c r="D34" s="639">
        <v>767.50959999999998</v>
      </c>
      <c r="E34" s="917"/>
      <c r="F34" s="583">
        <f t="shared" si="1"/>
        <v>25</v>
      </c>
      <c r="H34" s="902"/>
      <c r="I34" s="902"/>
      <c r="J34" s="919"/>
    </row>
    <row r="35" spans="1:10">
      <c r="A35" s="582">
        <f t="shared" si="0"/>
        <v>26</v>
      </c>
      <c r="B35" s="406" t="s">
        <v>620</v>
      </c>
      <c r="C35" s="83" t="s">
        <v>621</v>
      </c>
      <c r="D35" s="639">
        <v>904.36109999999996</v>
      </c>
      <c r="E35" s="918"/>
      <c r="F35" s="583">
        <f t="shared" si="1"/>
        <v>26</v>
      </c>
      <c r="H35" s="902"/>
      <c r="I35" s="902"/>
      <c r="J35" s="919"/>
    </row>
    <row r="36" spans="1:10">
      <c r="A36" s="582">
        <f t="shared" si="0"/>
        <v>27</v>
      </c>
      <c r="B36" s="406" t="s">
        <v>622</v>
      </c>
      <c r="C36" s="83" t="s">
        <v>623</v>
      </c>
      <c r="D36" s="639">
        <v>0</v>
      </c>
      <c r="E36" s="918"/>
      <c r="F36" s="583">
        <f t="shared" si="1"/>
        <v>27</v>
      </c>
      <c r="H36" s="902"/>
      <c r="I36" s="902"/>
      <c r="J36" s="919"/>
    </row>
    <row r="37" spans="1:10">
      <c r="A37" s="582">
        <f t="shared" si="0"/>
        <v>28</v>
      </c>
      <c r="B37" s="406" t="s">
        <v>624</v>
      </c>
      <c r="C37" s="83" t="s">
        <v>625</v>
      </c>
      <c r="D37" s="639">
        <v>16.036100000000001</v>
      </c>
      <c r="E37" s="918"/>
      <c r="F37" s="583">
        <f t="shared" si="1"/>
        <v>28</v>
      </c>
      <c r="H37" s="902"/>
      <c r="I37" s="902"/>
      <c r="J37" s="919"/>
    </row>
    <row r="38" spans="1:10">
      <c r="A38" s="582">
        <f t="shared" si="0"/>
        <v>29</v>
      </c>
      <c r="B38" s="406" t="s">
        <v>626</v>
      </c>
      <c r="C38" s="83" t="s">
        <v>627</v>
      </c>
      <c r="D38" s="639">
        <v>1024.7245</v>
      </c>
      <c r="E38" s="1002">
        <f>D38</f>
        <v>1024.7245</v>
      </c>
      <c r="F38" s="583">
        <f t="shared" si="1"/>
        <v>29</v>
      </c>
      <c r="H38" s="902"/>
      <c r="I38" s="902"/>
      <c r="J38" s="919"/>
    </row>
    <row r="39" spans="1:10">
      <c r="A39" s="582">
        <f t="shared" si="0"/>
        <v>30</v>
      </c>
      <c r="B39" s="406" t="s">
        <v>628</v>
      </c>
      <c r="C39" s="83" t="s">
        <v>629</v>
      </c>
      <c r="D39" s="639">
        <v>7668.2124000000003</v>
      </c>
      <c r="E39" s="1002">
        <f>D39</f>
        <v>7668.2124000000003</v>
      </c>
      <c r="F39" s="583">
        <f t="shared" si="1"/>
        <v>30</v>
      </c>
      <c r="H39" s="902"/>
      <c r="I39" s="902"/>
      <c r="J39" s="919"/>
    </row>
    <row r="40" spans="1:10">
      <c r="A40" s="582">
        <f t="shared" si="0"/>
        <v>31</v>
      </c>
      <c r="B40" s="406" t="s">
        <v>630</v>
      </c>
      <c r="C40" s="83" t="s">
        <v>631</v>
      </c>
      <c r="D40" s="639">
        <v>284.4717</v>
      </c>
      <c r="E40" s="1002"/>
      <c r="F40" s="583">
        <f t="shared" si="1"/>
        <v>31</v>
      </c>
      <c r="H40" s="902"/>
      <c r="I40" s="902"/>
      <c r="J40" s="919"/>
    </row>
    <row r="41" spans="1:10">
      <c r="A41" s="582">
        <f t="shared" si="0"/>
        <v>32</v>
      </c>
      <c r="B41" s="406" t="s">
        <v>632</v>
      </c>
      <c r="C41" s="83" t="s">
        <v>633</v>
      </c>
      <c r="D41" s="639">
        <v>168.91399999999999</v>
      </c>
      <c r="E41" s="1002"/>
      <c r="F41" s="583">
        <f t="shared" si="1"/>
        <v>32</v>
      </c>
      <c r="H41" s="902"/>
      <c r="I41" s="902"/>
      <c r="J41" s="919"/>
    </row>
    <row r="42" spans="1:10">
      <c r="A42" s="582">
        <f t="shared" si="0"/>
        <v>33</v>
      </c>
      <c r="B42" s="406" t="s">
        <v>634</v>
      </c>
      <c r="C42" s="83" t="s">
        <v>635</v>
      </c>
      <c r="D42" s="639">
        <v>219.1593</v>
      </c>
      <c r="E42" s="1002">
        <f t="shared" ref="E42:E54" si="2">D42</f>
        <v>219.1593</v>
      </c>
      <c r="F42" s="583">
        <f t="shared" si="1"/>
        <v>33</v>
      </c>
      <c r="H42" s="902"/>
      <c r="I42" s="902"/>
      <c r="J42" s="919"/>
    </row>
    <row r="43" spans="1:10">
      <c r="A43" s="582">
        <f t="shared" si="0"/>
        <v>34</v>
      </c>
      <c r="B43" s="406" t="s">
        <v>636</v>
      </c>
      <c r="C43" s="83" t="s">
        <v>637</v>
      </c>
      <c r="D43" s="639">
        <v>281.29259999999999</v>
      </c>
      <c r="E43" s="1002">
        <f t="shared" si="2"/>
        <v>281.29259999999999</v>
      </c>
      <c r="F43" s="583">
        <f t="shared" si="1"/>
        <v>34</v>
      </c>
      <c r="H43" s="902"/>
      <c r="I43" s="902"/>
      <c r="J43" s="919"/>
    </row>
    <row r="44" spans="1:10">
      <c r="A44" s="582">
        <f t="shared" si="0"/>
        <v>35</v>
      </c>
      <c r="B44" s="406" t="s">
        <v>638</v>
      </c>
      <c r="C44" s="83" t="s">
        <v>639</v>
      </c>
      <c r="D44" s="639">
        <v>74.052499999999995</v>
      </c>
      <c r="E44" s="1002">
        <f t="shared" si="2"/>
        <v>74.052499999999995</v>
      </c>
      <c r="F44" s="583">
        <f t="shared" si="1"/>
        <v>35</v>
      </c>
      <c r="H44" s="902"/>
      <c r="I44" s="902"/>
      <c r="J44" s="919"/>
    </row>
    <row r="45" spans="1:10">
      <c r="A45" s="582">
        <f t="shared" si="0"/>
        <v>36</v>
      </c>
      <c r="B45" s="406" t="s">
        <v>640</v>
      </c>
      <c r="C45" s="83" t="s">
        <v>641</v>
      </c>
      <c r="D45" s="639">
        <v>1361.2539999999999</v>
      </c>
      <c r="E45" s="1002">
        <f t="shared" si="2"/>
        <v>1361.2539999999999</v>
      </c>
      <c r="F45" s="583">
        <f t="shared" si="1"/>
        <v>36</v>
      </c>
      <c r="H45" s="902"/>
      <c r="I45" s="902"/>
      <c r="J45" s="919"/>
    </row>
    <row r="46" spans="1:10">
      <c r="A46" s="582">
        <f t="shared" si="0"/>
        <v>37</v>
      </c>
      <c r="B46" s="406" t="s">
        <v>642</v>
      </c>
      <c r="C46" s="83" t="s">
        <v>643</v>
      </c>
      <c r="D46" s="639">
        <v>1009.0404</v>
      </c>
      <c r="E46" s="1002">
        <f t="shared" si="2"/>
        <v>1009.0404</v>
      </c>
      <c r="F46" s="583">
        <f t="shared" si="1"/>
        <v>37</v>
      </c>
      <c r="H46" s="902"/>
      <c r="I46" s="902"/>
      <c r="J46" s="919"/>
    </row>
    <row r="47" spans="1:10">
      <c r="A47" s="582">
        <f t="shared" si="0"/>
        <v>38</v>
      </c>
      <c r="B47" s="406" t="s">
        <v>644</v>
      </c>
      <c r="C47" s="83" t="s">
        <v>645</v>
      </c>
      <c r="D47" s="639">
        <v>9.9993999999999996</v>
      </c>
      <c r="E47" s="1002">
        <f t="shared" si="2"/>
        <v>9.9993999999999996</v>
      </c>
      <c r="F47" s="583">
        <f t="shared" si="1"/>
        <v>38</v>
      </c>
      <c r="H47" s="902"/>
      <c r="I47" s="902"/>
      <c r="J47" s="919"/>
    </row>
    <row r="48" spans="1:10">
      <c r="A48" s="582">
        <f t="shared" si="0"/>
        <v>39</v>
      </c>
      <c r="B48" s="406" t="s">
        <v>646</v>
      </c>
      <c r="C48" s="83" t="s">
        <v>647</v>
      </c>
      <c r="D48" s="639">
        <v>150.7723</v>
      </c>
      <c r="E48" s="1002">
        <f t="shared" si="2"/>
        <v>150.7723</v>
      </c>
      <c r="F48" s="583">
        <f t="shared" si="1"/>
        <v>39</v>
      </c>
      <c r="H48" s="902"/>
      <c r="I48" s="902"/>
      <c r="J48" s="919"/>
    </row>
    <row r="49" spans="1:10">
      <c r="A49" s="582">
        <f t="shared" si="0"/>
        <v>40</v>
      </c>
      <c r="B49" s="406" t="s">
        <v>648</v>
      </c>
      <c r="C49" s="83" t="s">
        <v>649</v>
      </c>
      <c r="D49" s="639">
        <v>391.80779999999999</v>
      </c>
      <c r="E49" s="1002">
        <f t="shared" si="2"/>
        <v>391.80779999999999</v>
      </c>
      <c r="F49" s="583">
        <f t="shared" si="1"/>
        <v>40</v>
      </c>
      <c r="H49" s="902"/>
      <c r="I49" s="902"/>
      <c r="J49" s="919"/>
    </row>
    <row r="50" spans="1:10">
      <c r="A50" s="582">
        <f t="shared" si="0"/>
        <v>41</v>
      </c>
      <c r="B50" s="406" t="s">
        <v>650</v>
      </c>
      <c r="C50" s="83" t="s">
        <v>651</v>
      </c>
      <c r="D50" s="639">
        <v>165.29420000000002</v>
      </c>
      <c r="E50" s="1002">
        <f t="shared" si="2"/>
        <v>165.29420000000002</v>
      </c>
      <c r="F50" s="583">
        <f t="shared" si="1"/>
        <v>41</v>
      </c>
      <c r="H50" s="902"/>
      <c r="I50" s="902"/>
      <c r="J50" s="919"/>
    </row>
    <row r="51" spans="1:10">
      <c r="A51" s="582">
        <f t="shared" si="0"/>
        <v>42</v>
      </c>
      <c r="B51" s="407" t="s">
        <v>652</v>
      </c>
      <c r="C51" s="83" t="s">
        <v>653</v>
      </c>
      <c r="D51" s="639">
        <v>0</v>
      </c>
      <c r="E51" s="1002">
        <f t="shared" si="2"/>
        <v>0</v>
      </c>
      <c r="F51" s="583">
        <f t="shared" si="1"/>
        <v>42</v>
      </c>
      <c r="H51" s="903"/>
      <c r="I51" s="903"/>
      <c r="J51" s="919"/>
    </row>
    <row r="52" spans="1:10">
      <c r="A52" s="582">
        <f t="shared" si="0"/>
        <v>43</v>
      </c>
      <c r="B52" s="407" t="s">
        <v>654</v>
      </c>
      <c r="C52" s="83" t="s">
        <v>655</v>
      </c>
      <c r="D52" s="639">
        <v>0.15369999999999998</v>
      </c>
      <c r="E52" s="1002">
        <f t="shared" si="2"/>
        <v>0.15369999999999998</v>
      </c>
      <c r="F52" s="583">
        <f t="shared" si="1"/>
        <v>43</v>
      </c>
      <c r="H52" s="903"/>
      <c r="I52" s="903"/>
      <c r="J52" s="919"/>
    </row>
    <row r="53" spans="1:10">
      <c r="A53" s="582">
        <f t="shared" si="0"/>
        <v>44</v>
      </c>
      <c r="B53" s="406" t="s">
        <v>656</v>
      </c>
      <c r="C53" s="83" t="s">
        <v>657</v>
      </c>
      <c r="D53" s="639">
        <v>0.39439999999999997</v>
      </c>
      <c r="E53" s="1002">
        <f t="shared" si="2"/>
        <v>0.39439999999999997</v>
      </c>
      <c r="F53" s="583">
        <f t="shared" si="1"/>
        <v>44</v>
      </c>
      <c r="H53" s="902"/>
      <c r="I53" s="902"/>
      <c r="J53" s="919"/>
    </row>
    <row r="54" spans="1:10">
      <c r="A54" s="582">
        <f t="shared" si="0"/>
        <v>45</v>
      </c>
      <c r="B54" s="406" t="s">
        <v>658</v>
      </c>
      <c r="C54" s="83" t="s">
        <v>659</v>
      </c>
      <c r="D54" s="639">
        <v>550.48509999999999</v>
      </c>
      <c r="E54" s="1002">
        <f t="shared" si="2"/>
        <v>550.48509999999999</v>
      </c>
      <c r="F54" s="583">
        <f t="shared" si="1"/>
        <v>45</v>
      </c>
      <c r="H54" s="902"/>
      <c r="I54" s="902"/>
      <c r="J54" s="919"/>
    </row>
    <row r="55" spans="1:10">
      <c r="A55" s="582">
        <f t="shared" si="0"/>
        <v>46</v>
      </c>
      <c r="B55" s="1193" t="s">
        <v>660</v>
      </c>
      <c r="C55" s="1003" t="s">
        <v>661</v>
      </c>
      <c r="D55" s="1004">
        <v>0.78339999999999999</v>
      </c>
      <c r="E55" s="1005"/>
      <c r="F55" s="583">
        <f t="shared" si="1"/>
        <v>46</v>
      </c>
      <c r="H55" s="902"/>
      <c r="I55" s="902"/>
      <c r="J55" s="919"/>
    </row>
    <row r="56" spans="1:10">
      <c r="A56" s="582">
        <f t="shared" si="0"/>
        <v>47</v>
      </c>
      <c r="B56" s="408"/>
      <c r="C56" s="410"/>
      <c r="D56" s="640"/>
      <c r="E56" s="1006"/>
      <c r="F56" s="583">
        <f t="shared" si="1"/>
        <v>47</v>
      </c>
    </row>
    <row r="57" spans="1:10" ht="16.5" thickBot="1">
      <c r="A57" s="582">
        <f t="shared" si="0"/>
        <v>48</v>
      </c>
      <c r="B57" s="408" t="s">
        <v>662</v>
      </c>
      <c r="C57" s="84"/>
      <c r="D57" s="1163">
        <f>SUM(D10:D55)</f>
        <v>33111.784600000006</v>
      </c>
      <c r="E57" s="641">
        <f>SUM(E10:E55)</f>
        <v>16380.9838</v>
      </c>
      <c r="F57" s="583">
        <f t="shared" si="1"/>
        <v>48</v>
      </c>
    </row>
    <row r="58" spans="1:10" ht="16.5" thickTop="1">
      <c r="A58" s="582">
        <f t="shared" si="0"/>
        <v>49</v>
      </c>
      <c r="B58" s="408"/>
      <c r="C58" s="410"/>
      <c r="D58" s="640"/>
      <c r="E58" s="1006"/>
      <c r="F58" s="583">
        <f t="shared" si="1"/>
        <v>49</v>
      </c>
    </row>
    <row r="59" spans="1:10" ht="16.5" thickBot="1">
      <c r="A59" s="582">
        <f t="shared" si="0"/>
        <v>50</v>
      </c>
      <c r="B59" s="408" t="s">
        <v>663</v>
      </c>
      <c r="C59" s="84"/>
      <c r="D59" s="642"/>
      <c r="E59" s="643">
        <f>D57-E57</f>
        <v>16730.800800000005</v>
      </c>
      <c r="F59" s="583">
        <f t="shared" si="1"/>
        <v>50</v>
      </c>
    </row>
    <row r="60" spans="1:10" ht="17.25" thickTop="1" thickBot="1">
      <c r="A60" s="582">
        <f t="shared" si="0"/>
        <v>51</v>
      </c>
      <c r="B60" s="409"/>
      <c r="C60" s="411"/>
      <c r="D60" s="1007"/>
      <c r="E60" s="644"/>
      <c r="F60" s="583">
        <f t="shared" si="1"/>
        <v>51</v>
      </c>
    </row>
    <row r="61" spans="1:10">
      <c r="A61" s="582"/>
      <c r="B61" s="80"/>
      <c r="C61" s="80"/>
      <c r="D61" s="81"/>
      <c r="E61" s="82"/>
      <c r="F61" s="582"/>
    </row>
    <row r="62" spans="1:10">
      <c r="A62" s="764"/>
      <c r="B62" s="765"/>
      <c r="C62" s="765"/>
      <c r="D62" s="81"/>
      <c r="E62" s="82"/>
      <c r="F62" s="582"/>
    </row>
    <row r="63" spans="1:10" ht="18.75">
      <c r="A63" s="766">
        <v>1</v>
      </c>
      <c r="B63" s="767" t="s">
        <v>664</v>
      </c>
      <c r="C63" s="765"/>
      <c r="D63" s="80"/>
      <c r="E63" s="80"/>
      <c r="F63" s="582"/>
    </row>
    <row r="64" spans="1:10" ht="18.75">
      <c r="A64" s="766">
        <v>2</v>
      </c>
      <c r="B64" s="767" t="s">
        <v>665</v>
      </c>
      <c r="C64" s="765"/>
      <c r="D64" s="80"/>
      <c r="E64" s="80"/>
      <c r="F64" s="582"/>
    </row>
    <row r="65" spans="1:3" ht="18.75">
      <c r="A65" s="768"/>
      <c r="B65" s="3"/>
      <c r="C65" s="3"/>
    </row>
    <row r="66" spans="1:3">
      <c r="A66" s="247"/>
      <c r="B66" s="3"/>
      <c r="C66" s="3"/>
    </row>
  </sheetData>
  <mergeCells count="5">
    <mergeCell ref="B4:E4"/>
    <mergeCell ref="B5:E5"/>
    <mergeCell ref="B2:E2"/>
    <mergeCell ref="B3:E3"/>
    <mergeCell ref="B6:E6"/>
  </mergeCells>
  <conditionalFormatting sqref="H11:I55">
    <cfRule type="duplicateValues" dxfId="0" priority="1"/>
  </conditionalFormatting>
  <printOptions horizontalCentered="1"/>
  <pageMargins left="0.5" right="0.5" top="0.5" bottom="0.5" header="0.25" footer="0.25"/>
  <pageSetup scale="73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I41"/>
  <sheetViews>
    <sheetView zoomScale="80" zoomScaleNormal="80" zoomScalePageLayoutView="80" workbookViewId="0">
      <selection activeCell="B19" sqref="B19"/>
    </sheetView>
  </sheetViews>
  <sheetFormatPr defaultColWidth="8.5703125" defaultRowHeight="15.75"/>
  <cols>
    <col min="1" max="1" width="5.140625" style="247" customWidth="1"/>
    <col min="2" max="2" width="69.140625" style="136" bestFit="1" customWidth="1"/>
    <col min="3" max="3" width="21.140625" style="350" customWidth="1"/>
    <col min="4" max="4" width="1.5703125" style="136" customWidth="1"/>
    <col min="5" max="5" width="16.5703125" style="136" customWidth="1"/>
    <col min="6" max="6" width="1.5703125" style="136" customWidth="1"/>
    <col min="7" max="7" width="34.5703125" style="136" customWidth="1"/>
    <col min="8" max="8" width="5.140625" style="119" customWidth="1"/>
    <col min="9" max="9" width="20.42578125" style="136" bestFit="1" customWidth="1"/>
    <col min="10" max="16384" width="8.5703125" style="136"/>
  </cols>
  <sheetData>
    <row r="1" spans="1:8">
      <c r="B1" s="18"/>
      <c r="E1" s="342"/>
      <c r="F1" s="355"/>
      <c r="G1" s="119"/>
    </row>
    <row r="2" spans="1:8">
      <c r="B2" s="1287" t="s">
        <v>0</v>
      </c>
      <c r="C2" s="1287"/>
      <c r="D2" s="1287"/>
      <c r="E2" s="1287"/>
      <c r="F2" s="1287"/>
      <c r="G2" s="1287"/>
    </row>
    <row r="3" spans="1:8">
      <c r="B3" s="1287" t="s">
        <v>666</v>
      </c>
      <c r="C3" s="1287"/>
      <c r="D3" s="1287"/>
      <c r="E3" s="1287"/>
      <c r="F3" s="1287"/>
      <c r="G3" s="1287"/>
    </row>
    <row r="4" spans="1:8">
      <c r="B4" s="1287" t="s">
        <v>667</v>
      </c>
      <c r="C4" s="1287"/>
      <c r="D4" s="1287"/>
      <c r="E4" s="1287"/>
      <c r="F4" s="1287"/>
      <c r="G4" s="1287"/>
    </row>
    <row r="5" spans="1:8">
      <c r="B5" s="1289" t="str">
        <f>'A. Sec.1 - Direct Maintenance'!B5</f>
        <v>Base Period &amp; True-Up Period 12 - Months Ending December 31, 2024</v>
      </c>
      <c r="C5" s="1289"/>
      <c r="D5" s="1289"/>
      <c r="E5" s="1289"/>
      <c r="F5" s="1289"/>
      <c r="G5" s="1289"/>
    </row>
    <row r="6" spans="1:8" ht="15.75" customHeight="1">
      <c r="B6" s="1300">
        <v>-1000</v>
      </c>
      <c r="C6" s="1300"/>
      <c r="D6" s="1300"/>
      <c r="E6" s="1300"/>
      <c r="F6" s="1300"/>
      <c r="G6" s="1300"/>
    </row>
    <row r="7" spans="1:8">
      <c r="B7" s="119"/>
      <c r="D7" s="119"/>
      <c r="E7" s="119"/>
      <c r="F7" s="109"/>
      <c r="G7" s="119"/>
    </row>
    <row r="8" spans="1:8">
      <c r="A8" s="119" t="s">
        <v>4</v>
      </c>
      <c r="B8" s="109"/>
      <c r="C8" s="247" t="s">
        <v>188</v>
      </c>
      <c r="D8" s="109"/>
      <c r="E8" s="341"/>
      <c r="F8" s="109"/>
      <c r="G8" s="119"/>
      <c r="H8" s="119" t="s">
        <v>4</v>
      </c>
    </row>
    <row r="9" spans="1:8">
      <c r="A9" s="119" t="s">
        <v>5</v>
      </c>
      <c r="B9" s="109"/>
      <c r="C9" s="994" t="s">
        <v>190</v>
      </c>
      <c r="D9" s="109"/>
      <c r="E9" s="1008" t="s">
        <v>7</v>
      </c>
      <c r="F9" s="109"/>
      <c r="G9" s="1009" t="s">
        <v>8</v>
      </c>
      <c r="H9" s="119" t="s">
        <v>5</v>
      </c>
    </row>
    <row r="10" spans="1:8">
      <c r="A10" s="119"/>
      <c r="B10" s="109"/>
      <c r="C10" s="378"/>
      <c r="D10" s="109"/>
      <c r="E10" s="119"/>
      <c r="F10" s="109"/>
      <c r="G10" s="119"/>
    </row>
    <row r="11" spans="1:8">
      <c r="A11" s="247">
        <v>1</v>
      </c>
      <c r="B11" s="16" t="s">
        <v>668</v>
      </c>
      <c r="C11" s="119"/>
      <c r="D11" s="119"/>
      <c r="E11" s="887">
        <v>0</v>
      </c>
      <c r="F11" s="119"/>
      <c r="G11" s="354" t="s">
        <v>306</v>
      </c>
      <c r="H11" s="247">
        <f>A11</f>
        <v>1</v>
      </c>
    </row>
    <row r="12" spans="1:8">
      <c r="A12" s="247">
        <v>2</v>
      </c>
      <c r="B12" s="16"/>
      <c r="E12" s="388"/>
      <c r="F12" s="352"/>
      <c r="G12" s="354"/>
      <c r="H12" s="247">
        <f>H11+1</f>
        <v>2</v>
      </c>
    </row>
    <row r="13" spans="1:8">
      <c r="A13" s="247">
        <v>3</v>
      </c>
      <c r="B13" s="16" t="s">
        <v>669</v>
      </c>
      <c r="C13" s="119" t="s">
        <v>974</v>
      </c>
      <c r="E13" s="888">
        <v>0</v>
      </c>
      <c r="F13" s="352"/>
      <c r="G13" s="354" t="s">
        <v>306</v>
      </c>
      <c r="H13" s="247">
        <f t="shared" ref="H13:H33" si="0">H12+1</f>
        <v>3</v>
      </c>
    </row>
    <row r="14" spans="1:8">
      <c r="A14" s="247">
        <v>4</v>
      </c>
      <c r="C14" s="119"/>
      <c r="E14" s="388"/>
      <c r="F14" s="352"/>
      <c r="G14" s="354"/>
      <c r="H14" s="247">
        <f t="shared" si="0"/>
        <v>4</v>
      </c>
    </row>
    <row r="15" spans="1:8">
      <c r="A15" s="119">
        <v>5</v>
      </c>
      <c r="B15" s="16" t="s">
        <v>915</v>
      </c>
      <c r="C15" s="119" t="s">
        <v>975</v>
      </c>
      <c r="E15" s="884">
        <f>'AJ-1'!C15</f>
        <v>28495.457340000001</v>
      </c>
      <c r="F15" s="355"/>
      <c r="G15" s="354" t="str">
        <f>"AJ-1; Line "&amp;'AJ-1'!A15</f>
        <v>AJ-1; Line 1</v>
      </c>
      <c r="H15" s="247">
        <f t="shared" si="0"/>
        <v>5</v>
      </c>
    </row>
    <row r="16" spans="1:8">
      <c r="A16" s="119">
        <v>6</v>
      </c>
      <c r="B16" s="193"/>
      <c r="E16" s="361"/>
      <c r="F16" s="355"/>
      <c r="G16" s="354"/>
      <c r="H16" s="247">
        <f t="shared" si="0"/>
        <v>6</v>
      </c>
    </row>
    <row r="17" spans="1:8">
      <c r="A17" s="119">
        <v>7</v>
      </c>
      <c r="B17" s="136" t="s">
        <v>670</v>
      </c>
      <c r="C17" s="119" t="s">
        <v>976</v>
      </c>
      <c r="E17" s="390">
        <f>'AJ-2'!D15</f>
        <v>178983.4169632</v>
      </c>
      <c r="F17" s="119"/>
      <c r="G17" s="354" t="str">
        <f>"AJ-2; Line "&amp;'AJ-2'!A15</f>
        <v>AJ-2; Line 3</v>
      </c>
      <c r="H17" s="247">
        <f t="shared" si="0"/>
        <v>7</v>
      </c>
    </row>
    <row r="18" spans="1:8">
      <c r="A18" s="247">
        <v>8</v>
      </c>
      <c r="B18" s="810"/>
      <c r="E18" s="356"/>
      <c r="H18" s="247">
        <f t="shared" si="0"/>
        <v>8</v>
      </c>
    </row>
    <row r="19" spans="1:8">
      <c r="A19" s="247">
        <v>9</v>
      </c>
      <c r="B19" s="136" t="s">
        <v>197</v>
      </c>
      <c r="C19" s="119"/>
      <c r="E19" s="1010">
        <f>'Stmt AI'!E27</f>
        <v>0.1045186789759834</v>
      </c>
      <c r="G19" s="247" t="str">
        <f>"Statement AI; Line "&amp;'Stmt AI'!A27</f>
        <v>Statement AI; Line 17</v>
      </c>
      <c r="H19" s="247">
        <f t="shared" si="0"/>
        <v>9</v>
      </c>
    </row>
    <row r="20" spans="1:8">
      <c r="A20" s="247">
        <v>10</v>
      </c>
      <c r="E20" s="885"/>
      <c r="H20" s="247">
        <f t="shared" si="0"/>
        <v>10</v>
      </c>
    </row>
    <row r="21" spans="1:8">
      <c r="A21" s="247">
        <v>11</v>
      </c>
      <c r="B21" s="136" t="s">
        <v>671</v>
      </c>
      <c r="E21" s="886">
        <f>E13*$E$19</f>
        <v>0</v>
      </c>
      <c r="G21" s="446" t="str">
        <f>"Line "&amp;A13&amp;" x Line "&amp;A19</f>
        <v>Line 3 x Line 9</v>
      </c>
      <c r="H21" s="247">
        <f t="shared" si="0"/>
        <v>11</v>
      </c>
    </row>
    <row r="22" spans="1:8">
      <c r="A22" s="247">
        <v>12</v>
      </c>
      <c r="E22" s="885"/>
      <c r="G22" s="437"/>
      <c r="H22" s="247">
        <f t="shared" si="0"/>
        <v>12</v>
      </c>
    </row>
    <row r="23" spans="1:8">
      <c r="A23" s="247">
        <v>13</v>
      </c>
      <c r="B23" s="136" t="s">
        <v>672</v>
      </c>
      <c r="E23" s="366">
        <f>E15*$E$19</f>
        <v>2978.3075579932897</v>
      </c>
      <c r="G23" s="446" t="str">
        <f>"Line "&amp;A15&amp;" x Line "&amp;A19</f>
        <v>Line 5 x Line 9</v>
      </c>
      <c r="H23" s="247">
        <f t="shared" si="0"/>
        <v>13</v>
      </c>
    </row>
    <row r="24" spans="1:8">
      <c r="A24" s="247">
        <v>14</v>
      </c>
      <c r="B24" s="136" t="s">
        <v>185</v>
      </c>
      <c r="E24" s="391"/>
      <c r="G24" s="437"/>
      <c r="H24" s="247">
        <f t="shared" si="0"/>
        <v>14</v>
      </c>
    </row>
    <row r="25" spans="1:8">
      <c r="A25" s="247">
        <v>15</v>
      </c>
      <c r="B25" s="136" t="s">
        <v>673</v>
      </c>
      <c r="E25" s="1011">
        <f>E17*$E$19</f>
        <v>18707.110299601281</v>
      </c>
      <c r="G25" s="446" t="str">
        <f>"Line "&amp;A17&amp;" x Line "&amp;A19</f>
        <v>Line 7 x Line 9</v>
      </c>
      <c r="H25" s="247">
        <f t="shared" si="0"/>
        <v>15</v>
      </c>
    </row>
    <row r="26" spans="1:8">
      <c r="A26" s="247">
        <v>16</v>
      </c>
      <c r="E26" s="391"/>
      <c r="H26" s="247">
        <f t="shared" si="0"/>
        <v>16</v>
      </c>
    </row>
    <row r="27" spans="1:8" ht="16.5" thickBot="1">
      <c r="A27" s="247">
        <v>17</v>
      </c>
      <c r="B27" s="136" t="s">
        <v>674</v>
      </c>
      <c r="E27" s="1164">
        <f>E11+E21+E23+E25</f>
        <v>21685.41785759457</v>
      </c>
      <c r="G27" s="354" t="str">
        <f>"Line "&amp;A11&amp;" + (Sum Lines "&amp;A21&amp;" thru "&amp;A25&amp;")"</f>
        <v>Line 1 + (Sum Lines 11 thru 15)</v>
      </c>
      <c r="H27" s="247">
        <f t="shared" si="0"/>
        <v>17</v>
      </c>
    </row>
    <row r="28" spans="1:8" ht="16.5" thickTop="1">
      <c r="A28" s="247">
        <v>18</v>
      </c>
      <c r="E28" s="351"/>
      <c r="H28" s="247">
        <f t="shared" si="0"/>
        <v>18</v>
      </c>
    </row>
    <row r="29" spans="1:8" ht="16.5" thickBot="1">
      <c r="A29" s="247">
        <v>19</v>
      </c>
      <c r="B29" s="136" t="s">
        <v>675</v>
      </c>
      <c r="E29" s="882">
        <v>0</v>
      </c>
      <c r="G29" s="119" t="s">
        <v>306</v>
      </c>
      <c r="H29" s="247">
        <f t="shared" si="0"/>
        <v>19</v>
      </c>
    </row>
    <row r="30" spans="1:8" ht="16.5" thickTop="1">
      <c r="A30" s="247">
        <v>20</v>
      </c>
      <c r="H30" s="247">
        <f t="shared" si="0"/>
        <v>20</v>
      </c>
    </row>
    <row r="31" spans="1:8" ht="19.5" thickBot="1">
      <c r="A31" s="247">
        <v>21</v>
      </c>
      <c r="B31" s="136" t="s">
        <v>916</v>
      </c>
      <c r="E31" s="1165">
        <v>0</v>
      </c>
      <c r="G31" s="119" t="str">
        <f>"Not Applicable to "&amp;Automation!B3&amp;" Base Period"</f>
        <v>Not Applicable to 2024 Base Period</v>
      </c>
      <c r="H31" s="247">
        <f t="shared" si="0"/>
        <v>21</v>
      </c>
    </row>
    <row r="32" spans="1:8" ht="16.5" thickTop="1">
      <c r="A32" s="247">
        <v>22</v>
      </c>
      <c r="E32" s="361"/>
      <c r="H32" s="247">
        <f t="shared" si="0"/>
        <v>22</v>
      </c>
    </row>
    <row r="33" spans="1:9" ht="16.5" thickBot="1">
      <c r="A33" s="247">
        <v>23</v>
      </c>
      <c r="B33" s="136" t="s">
        <v>676</v>
      </c>
      <c r="E33" s="882">
        <v>0</v>
      </c>
      <c r="G33" s="119" t="s">
        <v>306</v>
      </c>
      <c r="H33" s="247">
        <f t="shared" si="0"/>
        <v>23</v>
      </c>
    </row>
    <row r="34" spans="1:9" ht="16.5" thickTop="1"/>
    <row r="36" spans="1:9" ht="18.75">
      <c r="A36" s="477">
        <v>1</v>
      </c>
      <c r="B36" s="136" t="s">
        <v>677</v>
      </c>
    </row>
    <row r="38" spans="1:9">
      <c r="I38" s="193"/>
    </row>
    <row r="39" spans="1:9">
      <c r="I39" s="193"/>
    </row>
    <row r="41" spans="1:9" ht="18.75">
      <c r="A41" s="47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2" orientation="portrait" r:id="rId1"/>
  <headerFooter scaleWithDoc="0">
    <oddFooter>&amp;C&amp;"Times New Roman,Regular"&amp;10AJ</oddFooter>
  </headerFooter>
  <customProperties>
    <customPr name="_pios_id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2:G37"/>
  <sheetViews>
    <sheetView zoomScale="80" zoomScaleNormal="80" workbookViewId="0">
      <selection activeCell="C35" sqref="C35"/>
    </sheetView>
  </sheetViews>
  <sheetFormatPr defaultColWidth="9.140625" defaultRowHeight="15.75"/>
  <cols>
    <col min="1" max="1" width="5.140625" style="109" customWidth="1"/>
    <col min="2" max="2" width="41.5703125" style="110" customWidth="1"/>
    <col min="3" max="3" width="22.5703125" style="110" customWidth="1"/>
    <col min="4" max="4" width="50.5703125" style="110" customWidth="1"/>
    <col min="5" max="5" width="5.140625" style="109" customWidth="1"/>
    <col min="6" max="6" width="11" style="110" customWidth="1"/>
    <col min="7" max="7" width="9.140625" style="110" bestFit="1" customWidth="1"/>
    <col min="8" max="8" width="9.140625" style="110" customWidth="1"/>
    <col min="9" max="9" width="14" style="110" customWidth="1"/>
    <col min="10" max="10" width="13.42578125" style="110" customWidth="1"/>
    <col min="11" max="16384" width="9.140625" style="110"/>
  </cols>
  <sheetData>
    <row r="2" spans="1:7">
      <c r="B2" s="1287" t="s">
        <v>0</v>
      </c>
      <c r="C2" s="1287"/>
      <c r="D2" s="1287"/>
    </row>
    <row r="3" spans="1:7">
      <c r="B3" s="1287" t="s">
        <v>678</v>
      </c>
      <c r="C3" s="1287"/>
      <c r="D3" s="1287"/>
    </row>
    <row r="4" spans="1:7">
      <c r="B4" s="1287" t="s">
        <v>679</v>
      </c>
      <c r="C4" s="1287"/>
      <c r="D4" s="1287"/>
    </row>
    <row r="5" spans="1:7">
      <c r="B5" s="1287" t="str">
        <f>"BASE PERIOD / TRUE UP PERIOD - 12/31/"&amp;Automation!$B$3&amp;" PER BOOK"</f>
        <v>BASE PERIOD / TRUE UP PERIOD - 12/31/2024 PER BOOK</v>
      </c>
      <c r="C5" s="1287"/>
      <c r="D5" s="1287"/>
    </row>
    <row r="6" spans="1:7">
      <c r="B6" s="1291" t="s">
        <v>3</v>
      </c>
      <c r="C6" s="1291"/>
      <c r="D6" s="1291"/>
    </row>
    <row r="7" spans="1:7">
      <c r="B7" s="111"/>
      <c r="C7" s="111"/>
      <c r="D7" s="111"/>
    </row>
    <row r="8" spans="1:7">
      <c r="B8" s="1287" t="s">
        <v>291</v>
      </c>
      <c r="C8" s="1287"/>
      <c r="D8" s="1287"/>
    </row>
    <row r="10" spans="1:7">
      <c r="B10" s="857"/>
      <c r="C10" s="968" t="s">
        <v>375</v>
      </c>
      <c r="D10" s="964"/>
      <c r="E10" s="119"/>
    </row>
    <row r="11" spans="1:7">
      <c r="A11" s="119"/>
      <c r="B11" s="116"/>
      <c r="C11" s="116" t="s">
        <v>680</v>
      </c>
      <c r="D11" s="118"/>
      <c r="E11" s="119"/>
    </row>
    <row r="12" spans="1:7">
      <c r="A12" s="119" t="s">
        <v>4</v>
      </c>
      <c r="B12" s="116"/>
      <c r="C12" s="116" t="s">
        <v>237</v>
      </c>
      <c r="D12" s="118"/>
      <c r="E12" s="119" t="s">
        <v>4</v>
      </c>
    </row>
    <row r="13" spans="1:7">
      <c r="A13" s="119" t="s">
        <v>5</v>
      </c>
      <c r="B13" s="1012" t="s">
        <v>123</v>
      </c>
      <c r="C13" s="1012" t="s">
        <v>681</v>
      </c>
      <c r="D13" s="1012" t="s">
        <v>8</v>
      </c>
      <c r="E13" s="119" t="s">
        <v>5</v>
      </c>
    </row>
    <row r="14" spans="1:7">
      <c r="A14" s="119"/>
      <c r="B14" s="120"/>
      <c r="C14" s="196"/>
      <c r="D14" s="205"/>
      <c r="E14" s="119"/>
    </row>
    <row r="15" spans="1:7">
      <c r="A15" s="119">
        <v>1</v>
      </c>
      <c r="B15" s="331" t="str">
        <f>"Dec-"&amp;RIGHT(Automation!$B$3,2)</f>
        <v>Dec-24</v>
      </c>
      <c r="C15" s="199">
        <v>28495.457340000001</v>
      </c>
      <c r="D15" s="1238" t="s">
        <v>977</v>
      </c>
      <c r="E15" s="119">
        <f>A15</f>
        <v>1</v>
      </c>
      <c r="F15" s="418"/>
      <c r="G15" s="1202"/>
    </row>
    <row r="16" spans="1:7">
      <c r="A16" s="119">
        <f>A15+1</f>
        <v>2</v>
      </c>
      <c r="B16" s="1013"/>
      <c r="C16" s="1014"/>
      <c r="D16" s="1014"/>
      <c r="E16" s="119">
        <f>E15+1</f>
        <v>2</v>
      </c>
    </row>
    <row r="17" spans="1:6">
      <c r="A17" s="119"/>
      <c r="B17" s="136"/>
      <c r="C17" s="204"/>
      <c r="D17" s="136"/>
      <c r="E17" s="119"/>
    </row>
    <row r="18" spans="1:6">
      <c r="B18" s="136"/>
      <c r="C18" s="136"/>
      <c r="D18" s="136"/>
    </row>
    <row r="19" spans="1:6" ht="18.75">
      <c r="A19" s="135"/>
      <c r="B19" s="136"/>
      <c r="C19" s="136"/>
      <c r="D19" s="136"/>
    </row>
    <row r="20" spans="1:6">
      <c r="B20" s="136"/>
      <c r="C20" s="136"/>
      <c r="D20" s="136"/>
    </row>
    <row r="21" spans="1:6">
      <c r="B21" s="136"/>
      <c r="C21" s="136"/>
      <c r="D21" s="136"/>
    </row>
    <row r="22" spans="1:6">
      <c r="B22" s="136"/>
      <c r="C22" s="136"/>
      <c r="D22" s="136"/>
      <c r="F22" s="193"/>
    </row>
    <row r="23" spans="1:6">
      <c r="B23" s="136"/>
      <c r="C23" s="136"/>
      <c r="D23" s="136"/>
      <c r="F23" s="193"/>
    </row>
    <row r="24" spans="1:6">
      <c r="B24" s="136"/>
      <c r="C24" s="136"/>
      <c r="D24" s="136"/>
    </row>
    <row r="25" spans="1:6">
      <c r="B25" s="136"/>
      <c r="C25" s="136"/>
      <c r="D25" s="136"/>
    </row>
    <row r="26" spans="1:6">
      <c r="B26" s="136"/>
      <c r="C26" s="136"/>
      <c r="D26" s="136"/>
    </row>
    <row r="27" spans="1:6">
      <c r="B27" s="136"/>
      <c r="C27" s="136"/>
      <c r="D27" s="136"/>
    </row>
    <row r="28" spans="1:6">
      <c r="B28" s="136"/>
      <c r="C28" s="136"/>
      <c r="D28" s="136"/>
    </row>
    <row r="29" spans="1:6">
      <c r="B29" s="136"/>
      <c r="C29" s="136"/>
      <c r="D29" s="136"/>
    </row>
    <row r="30" spans="1:6">
      <c r="B30" s="136"/>
      <c r="C30" s="136"/>
      <c r="D30" s="136"/>
    </row>
    <row r="31" spans="1:6" s="136" customFormat="1">
      <c r="A31" s="119"/>
      <c r="E31" s="119"/>
    </row>
    <row r="32" spans="1:6" s="136" customFormat="1">
      <c r="A32" s="119"/>
      <c r="E32" s="119"/>
    </row>
    <row r="33" spans="1:5" s="136" customFormat="1">
      <c r="A33" s="119"/>
      <c r="E33" s="119"/>
    </row>
    <row r="34" spans="1:5" s="136" customFormat="1">
      <c r="A34" s="119"/>
      <c r="E34" s="119"/>
    </row>
    <row r="35" spans="1:5" s="136" customFormat="1">
      <c r="A35" s="119"/>
      <c r="E35" s="119"/>
    </row>
    <row r="36" spans="1:5" s="136" customFormat="1">
      <c r="A36" s="119"/>
      <c r="E36" s="119"/>
    </row>
    <row r="37" spans="1:5" s="136" customFormat="1">
      <c r="A37" s="119"/>
      <c r="E37" s="119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2:G22"/>
  <sheetViews>
    <sheetView zoomScale="80" zoomScaleNormal="80" workbookViewId="0">
      <selection activeCell="E40" sqref="E40"/>
    </sheetView>
  </sheetViews>
  <sheetFormatPr defaultColWidth="9.140625" defaultRowHeight="15.75"/>
  <cols>
    <col min="1" max="1" width="5.140625" style="109" customWidth="1"/>
    <col min="2" max="2" width="8.5703125" style="110" customWidth="1"/>
    <col min="3" max="3" width="41.140625" style="110" customWidth="1"/>
    <col min="4" max="4" width="18.5703125" style="110" customWidth="1"/>
    <col min="5" max="5" width="62.5703125" style="110" customWidth="1"/>
    <col min="6" max="6" width="5.140625" style="109" customWidth="1"/>
    <col min="7" max="7" width="24" style="110" customWidth="1"/>
    <col min="8" max="8" width="11" style="110" customWidth="1"/>
    <col min="9" max="9" width="7.140625" style="110" customWidth="1"/>
    <col min="10" max="10" width="9.140625" style="110" customWidth="1"/>
    <col min="11" max="11" width="14" style="110" customWidth="1"/>
    <col min="12" max="12" width="13.42578125" style="110" customWidth="1"/>
    <col min="13" max="16384" width="9.140625" style="110"/>
  </cols>
  <sheetData>
    <row r="2" spans="1:7">
      <c r="B2" s="1287" t="s">
        <v>0</v>
      </c>
      <c r="C2" s="1287"/>
      <c r="D2" s="1287"/>
      <c r="E2" s="1287"/>
    </row>
    <row r="3" spans="1:7">
      <c r="B3" s="1287" t="s">
        <v>678</v>
      </c>
      <c r="C3" s="1287"/>
      <c r="D3" s="1287"/>
      <c r="E3" s="1287"/>
    </row>
    <row r="4" spans="1:7">
      <c r="B4" s="1287" t="s">
        <v>679</v>
      </c>
      <c r="C4" s="1287"/>
      <c r="D4" s="1287"/>
      <c r="E4" s="1287"/>
    </row>
    <row r="5" spans="1:7">
      <c r="B5" s="1301" t="str">
        <f>"BASE PERIOD / TRUE UP PERIOD - 12/31/"&amp;Automation!$B$3&amp;" PER BOOK"</f>
        <v>BASE PERIOD / TRUE UP PERIOD - 12/31/2024 PER BOOK</v>
      </c>
      <c r="C5" s="1301"/>
      <c r="D5" s="1301"/>
      <c r="E5" s="1301"/>
      <c r="F5" s="1087"/>
    </row>
    <row r="6" spans="1:7">
      <c r="B6" s="1302" t="s">
        <v>3</v>
      </c>
      <c r="C6" s="1302"/>
      <c r="D6" s="1302"/>
      <c r="E6" s="1302"/>
      <c r="F6" s="1087"/>
      <c r="G6"/>
    </row>
    <row r="7" spans="1:7">
      <c r="B7" s="531"/>
      <c r="C7" s="531"/>
      <c r="D7" s="531"/>
      <c r="E7" s="531"/>
      <c r="F7" s="1087"/>
    </row>
    <row r="8" spans="1:7">
      <c r="B8" s="1301" t="s">
        <v>293</v>
      </c>
      <c r="C8" s="1301"/>
      <c r="D8" s="1301"/>
      <c r="E8" s="1301"/>
      <c r="F8" s="1087"/>
    </row>
    <row r="9" spans="1:7">
      <c r="B9" s="530"/>
      <c r="C9" s="530"/>
      <c r="D9" s="530"/>
      <c r="E9" s="530"/>
      <c r="F9" s="1087"/>
    </row>
    <row r="10" spans="1:7">
      <c r="A10" s="119" t="s">
        <v>4</v>
      </c>
      <c r="B10" s="524"/>
      <c r="C10" s="524"/>
      <c r="D10" s="525"/>
      <c r="E10" s="962"/>
      <c r="F10" s="119" t="s">
        <v>4</v>
      </c>
    </row>
    <row r="11" spans="1:7">
      <c r="A11" s="119" t="s">
        <v>5</v>
      </c>
      <c r="B11" s="1015" t="s">
        <v>123</v>
      </c>
      <c r="C11" s="1015" t="s">
        <v>261</v>
      </c>
      <c r="D11" s="1015" t="s">
        <v>7</v>
      </c>
      <c r="E11" s="1012" t="s">
        <v>8</v>
      </c>
      <c r="F11" s="119" t="s">
        <v>5</v>
      </c>
    </row>
    <row r="12" spans="1:7">
      <c r="A12" s="119"/>
      <c r="B12" s="965"/>
      <c r="C12" s="965"/>
      <c r="D12" s="965"/>
      <c r="E12" s="527"/>
      <c r="F12" s="584"/>
      <c r="G12" s="418"/>
    </row>
    <row r="13" spans="1:7">
      <c r="A13" s="119">
        <v>1</v>
      </c>
      <c r="B13" s="198" t="str">
        <f>"Dec-"&amp;RIGHT(Automation!$B$3,2)</f>
        <v>Dec-24</v>
      </c>
      <c r="C13" s="198" t="s">
        <v>294</v>
      </c>
      <c r="D13" s="1243">
        <v>242295.136</v>
      </c>
      <c r="E13" s="1239" t="s">
        <v>1017</v>
      </c>
      <c r="F13" s="119">
        <f>A13</f>
        <v>1</v>
      </c>
      <c r="G13" s="418"/>
    </row>
    <row r="14" spans="1:7">
      <c r="A14" s="119">
        <f>A13+1</f>
        <v>2</v>
      </c>
      <c r="B14" s="198"/>
      <c r="C14" s="198" t="s">
        <v>295</v>
      </c>
      <c r="D14" s="1016">
        <v>0.73870000000000002</v>
      </c>
      <c r="E14" s="1240" t="s">
        <v>1018</v>
      </c>
      <c r="F14" s="119">
        <f>F13+1</f>
        <v>2</v>
      </c>
      <c r="G14" s="418"/>
    </row>
    <row r="15" spans="1:7">
      <c r="A15" s="119">
        <f t="shared" ref="A15:A16" si="0">A14+1</f>
        <v>3</v>
      </c>
      <c r="B15" s="198"/>
      <c r="C15" s="198" t="s">
        <v>682</v>
      </c>
      <c r="D15" s="532">
        <f>D13*D14</f>
        <v>178983.4169632</v>
      </c>
      <c r="E15" s="1238" t="s">
        <v>978</v>
      </c>
      <c r="F15" s="119">
        <f t="shared" ref="F15:F16" si="1">F14+1</f>
        <v>3</v>
      </c>
      <c r="G15" s="418"/>
    </row>
    <row r="16" spans="1:7">
      <c r="A16" s="119">
        <f t="shared" si="0"/>
        <v>4</v>
      </c>
      <c r="B16" s="1017"/>
      <c r="C16" s="1015"/>
      <c r="D16" s="1017"/>
      <c r="E16" s="1018"/>
      <c r="F16" s="119">
        <f t="shared" si="1"/>
        <v>4</v>
      </c>
      <c r="G16" s="418"/>
    </row>
    <row r="17" spans="1:7">
      <c r="A17" s="119"/>
      <c r="B17" s="136"/>
      <c r="C17" s="136"/>
      <c r="D17" s="159"/>
      <c r="E17" s="136"/>
      <c r="F17" s="119"/>
      <c r="G17" s="418"/>
    </row>
    <row r="18" spans="1:7">
      <c r="B18" s="136"/>
      <c r="C18" s="136"/>
      <c r="D18" s="136"/>
      <c r="E18" s="136"/>
      <c r="F18" s="119"/>
      <c r="G18" s="418"/>
    </row>
    <row r="19" spans="1:7">
      <c r="B19" s="136"/>
      <c r="C19" s="136"/>
      <c r="D19" s="136"/>
      <c r="E19" s="136"/>
      <c r="G19" s="418"/>
    </row>
    <row r="20" spans="1:7">
      <c r="B20" s="136"/>
      <c r="C20" s="136"/>
      <c r="D20" s="136"/>
      <c r="E20" s="136"/>
      <c r="G20" s="418"/>
    </row>
    <row r="21" spans="1:7">
      <c r="G21" s="418"/>
    </row>
    <row r="22" spans="1:7">
      <c r="G22" s="155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50"/>
  <sheetViews>
    <sheetView zoomScale="80" zoomScaleNormal="80" zoomScalePageLayoutView="80" workbookViewId="0">
      <selection activeCell="E30" sqref="E30"/>
    </sheetView>
  </sheetViews>
  <sheetFormatPr defaultColWidth="8.5703125" defaultRowHeight="15.75"/>
  <cols>
    <col min="1" max="1" width="5.140625" style="119" bestFit="1" customWidth="1"/>
    <col min="2" max="2" width="62.140625" style="136" customWidth="1"/>
    <col min="3" max="3" width="25.42578125" style="136" customWidth="1"/>
    <col min="4" max="4" width="1.5703125" style="136" customWidth="1"/>
    <col min="5" max="5" width="16.5703125" style="136" customWidth="1"/>
    <col min="6" max="6" width="1.5703125" style="136" customWidth="1"/>
    <col min="7" max="7" width="35.5703125" style="136" customWidth="1"/>
    <col min="8" max="8" width="5.140625" style="136" bestFit="1" customWidth="1"/>
    <col min="9" max="9" width="8.5703125" style="136"/>
    <col min="10" max="10" width="19.140625" style="136" customWidth="1"/>
    <col min="11" max="12" width="17.5703125" style="136" customWidth="1"/>
    <col min="13" max="16384" width="8.5703125" style="136"/>
  </cols>
  <sheetData>
    <row r="1" spans="1:11">
      <c r="A1" s="119" t="s">
        <v>185</v>
      </c>
      <c r="G1" s="119"/>
      <c r="H1" s="119"/>
    </row>
    <row r="2" spans="1:11">
      <c r="B2" s="1287" t="s">
        <v>0</v>
      </c>
      <c r="C2" s="1287"/>
      <c r="D2" s="1287"/>
      <c r="E2" s="1287"/>
      <c r="F2" s="1287"/>
      <c r="G2" s="1287"/>
      <c r="H2" s="119"/>
    </row>
    <row r="3" spans="1:11">
      <c r="B3" s="1287" t="s">
        <v>683</v>
      </c>
      <c r="C3" s="1287"/>
      <c r="D3" s="1287"/>
      <c r="E3" s="1287"/>
      <c r="F3" s="1287"/>
      <c r="G3" s="1287"/>
      <c r="H3" s="119"/>
    </row>
    <row r="4" spans="1:11">
      <c r="B4" s="1287" t="s">
        <v>684</v>
      </c>
      <c r="C4" s="1287"/>
      <c r="D4" s="1287"/>
      <c r="E4" s="1287"/>
      <c r="F4" s="1287"/>
      <c r="G4" s="1287"/>
      <c r="H4" s="119"/>
    </row>
    <row r="5" spans="1:11">
      <c r="B5" s="1289" t="str">
        <f>'A. Sec.1 - Direct Maintenance'!B5</f>
        <v>Base Period &amp; True-Up Period 12 - Months Ending December 31, 2024</v>
      </c>
      <c r="C5" s="1289"/>
      <c r="D5" s="1289"/>
      <c r="E5" s="1289"/>
      <c r="F5" s="1289"/>
      <c r="G5" s="1289"/>
      <c r="H5" s="119"/>
    </row>
    <row r="6" spans="1:11">
      <c r="B6" s="1291" t="s">
        <v>3</v>
      </c>
      <c r="C6" s="1288"/>
      <c r="D6" s="1288"/>
      <c r="E6" s="1288"/>
      <c r="F6" s="1288"/>
      <c r="G6" s="1288"/>
      <c r="H6" s="119"/>
    </row>
    <row r="7" spans="1:11">
      <c r="B7" s="119"/>
      <c r="C7" s="119"/>
      <c r="D7" s="119"/>
      <c r="E7" s="119"/>
      <c r="F7" s="119"/>
      <c r="G7" s="119"/>
      <c r="H7" s="119"/>
    </row>
    <row r="8" spans="1:11">
      <c r="A8" s="119" t="s">
        <v>4</v>
      </c>
      <c r="B8" s="109"/>
      <c r="C8" s="247" t="s">
        <v>188</v>
      </c>
      <c r="D8" s="109"/>
      <c r="E8" s="109"/>
      <c r="F8" s="109"/>
      <c r="G8" s="119"/>
      <c r="H8" s="119" t="s">
        <v>4</v>
      </c>
    </row>
    <row r="9" spans="1:11">
      <c r="A9" s="119" t="s">
        <v>5</v>
      </c>
      <c r="B9" s="109"/>
      <c r="C9" s="994" t="s">
        <v>190</v>
      </c>
      <c r="D9" s="109"/>
      <c r="E9" s="1008" t="s">
        <v>7</v>
      </c>
      <c r="F9" s="109"/>
      <c r="G9" s="1009" t="s">
        <v>8</v>
      </c>
      <c r="H9" s="119" t="s">
        <v>5</v>
      </c>
    </row>
    <row r="10" spans="1:11">
      <c r="B10" s="119"/>
      <c r="C10" s="119"/>
      <c r="D10" s="119"/>
      <c r="E10" s="119"/>
      <c r="F10" s="109"/>
      <c r="G10" s="119"/>
      <c r="H10" s="119"/>
    </row>
    <row r="11" spans="1:11" ht="18.75">
      <c r="A11" s="119">
        <v>1</v>
      </c>
      <c r="B11" s="136" t="s">
        <v>685</v>
      </c>
      <c r="C11" s="247" t="s">
        <v>979</v>
      </c>
      <c r="E11" s="353">
        <v>204816.72831999999</v>
      </c>
      <c r="F11" s="109"/>
      <c r="G11" s="354"/>
      <c r="H11" s="119">
        <f>A11</f>
        <v>1</v>
      </c>
      <c r="K11" s="162"/>
    </row>
    <row r="12" spans="1:11" ht="16.350000000000001" customHeight="1">
      <c r="A12" s="119">
        <f>+A11+1</f>
        <v>2</v>
      </c>
      <c r="E12" s="373"/>
      <c r="F12" s="109"/>
      <c r="G12" s="374"/>
      <c r="H12" s="119">
        <f>+H11+1</f>
        <v>2</v>
      </c>
    </row>
    <row r="13" spans="1:11" ht="18.75">
      <c r="A13" s="119">
        <f t="shared" ref="A13:A38" si="0">+A12+1</f>
        <v>3</v>
      </c>
      <c r="B13" s="136" t="s">
        <v>686</v>
      </c>
      <c r="C13" s="247"/>
      <c r="E13" s="1019">
        <v>0</v>
      </c>
      <c r="F13" s="109"/>
      <c r="G13" s="354" t="str">
        <f>"Not Applicable to "&amp;Automation!B3&amp;" Base Period"</f>
        <v>Not Applicable to 2024 Base Period</v>
      </c>
      <c r="H13" s="119">
        <f t="shared" ref="H13:H38" si="1">+H12+1</f>
        <v>3</v>
      </c>
    </row>
    <row r="14" spans="1:11">
      <c r="A14" s="119">
        <f t="shared" si="0"/>
        <v>4</v>
      </c>
      <c r="E14" s="375"/>
      <c r="F14" s="109"/>
      <c r="H14" s="119">
        <f t="shared" si="1"/>
        <v>4</v>
      </c>
    </row>
    <row r="15" spans="1:11">
      <c r="A15" s="119">
        <f t="shared" si="0"/>
        <v>5</v>
      </c>
      <c r="B15" s="136" t="s">
        <v>687</v>
      </c>
      <c r="E15" s="373">
        <f>E11+E13</f>
        <v>204816.72831999999</v>
      </c>
      <c r="F15" s="109"/>
      <c r="G15" s="354" t="str">
        <f>"Line "&amp;A11&amp;" + Line "&amp;A13</f>
        <v>Line 1 + Line 3</v>
      </c>
      <c r="H15" s="119">
        <f t="shared" si="1"/>
        <v>5</v>
      </c>
    </row>
    <row r="16" spans="1:11">
      <c r="A16" s="119">
        <f t="shared" si="0"/>
        <v>6</v>
      </c>
      <c r="E16" s="373"/>
      <c r="F16" s="109"/>
      <c r="G16" s="354"/>
      <c r="H16" s="119">
        <f t="shared" si="1"/>
        <v>6</v>
      </c>
    </row>
    <row r="17" spans="1:10">
      <c r="A17" s="119">
        <f t="shared" si="0"/>
        <v>7</v>
      </c>
      <c r="B17" s="383" t="s">
        <v>688</v>
      </c>
      <c r="C17" s="247" t="s">
        <v>1011</v>
      </c>
      <c r="E17" s="997">
        <v>297.11799999999999</v>
      </c>
      <c r="F17" s="109"/>
      <c r="G17" s="1233"/>
      <c r="H17" s="119">
        <f t="shared" si="1"/>
        <v>7</v>
      </c>
    </row>
    <row r="18" spans="1:10">
      <c r="A18" s="119">
        <f t="shared" si="0"/>
        <v>8</v>
      </c>
      <c r="B18" s="383"/>
      <c r="E18" s="384"/>
      <c r="F18" s="109"/>
      <c r="G18" s="354"/>
      <c r="H18" s="119">
        <f t="shared" si="1"/>
        <v>8</v>
      </c>
    </row>
    <row r="19" spans="1:10">
      <c r="A19" s="119">
        <f t="shared" si="0"/>
        <v>9</v>
      </c>
      <c r="B19" s="16" t="s">
        <v>689</v>
      </c>
      <c r="E19" s="384">
        <f>E15+E17</f>
        <v>205113.84631999998</v>
      </c>
      <c r="F19" s="109"/>
      <c r="G19" s="354" t="str">
        <f>"Line "&amp;A15&amp;" + Line "&amp;A17</f>
        <v>Line 5 + Line 7</v>
      </c>
      <c r="H19" s="119">
        <f t="shared" si="1"/>
        <v>9</v>
      </c>
    </row>
    <row r="20" spans="1:10">
      <c r="A20" s="119">
        <f t="shared" si="0"/>
        <v>10</v>
      </c>
      <c r="E20" s="373"/>
      <c r="F20" s="109"/>
      <c r="H20" s="119">
        <f t="shared" si="1"/>
        <v>10</v>
      </c>
    </row>
    <row r="21" spans="1:10" ht="18.75">
      <c r="A21" s="119">
        <f t="shared" si="0"/>
        <v>11</v>
      </c>
      <c r="B21" s="136" t="s">
        <v>690</v>
      </c>
      <c r="C21" s="247"/>
      <c r="E21" s="1019">
        <v>0</v>
      </c>
      <c r="F21" s="109"/>
      <c r="G21" s="354" t="str">
        <f>"Not Applicable to "&amp;Automation!B3&amp;" Base Period"</f>
        <v>Not Applicable to 2024 Base Period</v>
      </c>
      <c r="H21" s="119">
        <f t="shared" si="1"/>
        <v>11</v>
      </c>
      <c r="J21" s="376"/>
    </row>
    <row r="22" spans="1:10">
      <c r="A22" s="119">
        <f t="shared" si="0"/>
        <v>12</v>
      </c>
      <c r="E22" s="1020"/>
      <c r="F22" s="109"/>
      <c r="G22" s="354"/>
      <c r="H22" s="119">
        <f t="shared" si="1"/>
        <v>12</v>
      </c>
    </row>
    <row r="23" spans="1:10" ht="16.5" thickBot="1">
      <c r="A23" s="119">
        <f t="shared" si="0"/>
        <v>13</v>
      </c>
      <c r="B23" s="136" t="s">
        <v>691</v>
      </c>
      <c r="C23" s="247"/>
      <c r="D23" s="204"/>
      <c r="E23" s="1166">
        <f>E19+E21</f>
        <v>205113.84631999998</v>
      </c>
      <c r="F23" s="109"/>
      <c r="G23" s="354" t="str">
        <f>"Line "&amp;A19&amp;" + Line "&amp;A21</f>
        <v>Line 9 + Line 11</v>
      </c>
      <c r="H23" s="119">
        <f t="shared" si="1"/>
        <v>13</v>
      </c>
      <c r="J23" s="377"/>
    </row>
    <row r="24" spans="1:10" ht="16.5" thickTop="1">
      <c r="A24" s="119">
        <f t="shared" si="0"/>
        <v>14</v>
      </c>
      <c r="C24" s="204"/>
      <c r="D24" s="204"/>
      <c r="F24" s="109"/>
      <c r="G24" s="119"/>
      <c r="H24" s="119">
        <f t="shared" si="1"/>
        <v>14</v>
      </c>
    </row>
    <row r="25" spans="1:10">
      <c r="A25" s="119">
        <f t="shared" si="0"/>
        <v>15</v>
      </c>
      <c r="B25" s="17" t="s">
        <v>692</v>
      </c>
      <c r="C25" s="204"/>
      <c r="D25" s="204"/>
      <c r="E25" s="1021">
        <f>'Stmt AH'!E68</f>
        <v>0.36710509039920797</v>
      </c>
      <c r="F25" s="109"/>
      <c r="G25" s="70" t="str">
        <f>"Statement AH; Line "&amp;'Stmt AH'!A68</f>
        <v>Statement AH; Line 58</v>
      </c>
      <c r="H25" s="119">
        <f t="shared" si="1"/>
        <v>15</v>
      </c>
    </row>
    <row r="26" spans="1:10">
      <c r="A26" s="119">
        <f t="shared" si="0"/>
        <v>16</v>
      </c>
      <c r="B26" s="803"/>
      <c r="C26" s="204"/>
      <c r="D26" s="204"/>
      <c r="E26" s="444"/>
      <c r="F26" s="109"/>
      <c r="G26" s="70"/>
      <c r="H26" s="119">
        <f t="shared" si="1"/>
        <v>16</v>
      </c>
    </row>
    <row r="27" spans="1:10" ht="16.5" thickBot="1">
      <c r="A27" s="119">
        <f t="shared" si="0"/>
        <v>17</v>
      </c>
      <c r="B27" s="16" t="s">
        <v>693</v>
      </c>
      <c r="C27" s="204"/>
      <c r="D27" s="204"/>
      <c r="E27" s="1167">
        <f>E23*E25</f>
        <v>75298.337095432842</v>
      </c>
      <c r="G27" s="5" t="str">
        <f>"Line "&amp;A23&amp;" x Line "&amp;A25</f>
        <v>Line 13 x Line 15</v>
      </c>
      <c r="H27" s="119">
        <f t="shared" si="1"/>
        <v>17</v>
      </c>
    </row>
    <row r="28" spans="1:10" ht="17.25" thickTop="1" thickBot="1">
      <c r="A28" s="119">
        <f t="shared" si="0"/>
        <v>18</v>
      </c>
      <c r="B28" s="385"/>
      <c r="C28" s="380"/>
      <c r="D28" s="380"/>
      <c r="E28" s="379"/>
      <c r="F28" s="386"/>
      <c r="G28" s="387"/>
      <c r="H28" s="119">
        <f t="shared" si="1"/>
        <v>18</v>
      </c>
    </row>
    <row r="29" spans="1:10">
      <c r="A29" s="119">
        <f t="shared" si="0"/>
        <v>19</v>
      </c>
      <c r="C29" s="204"/>
      <c r="D29" s="204"/>
      <c r="H29" s="119">
        <f t="shared" si="1"/>
        <v>19</v>
      </c>
    </row>
    <row r="30" spans="1:10" ht="18.75">
      <c r="A30" s="119">
        <f t="shared" si="0"/>
        <v>20</v>
      </c>
      <c r="B30" s="136" t="s">
        <v>694</v>
      </c>
      <c r="C30" s="247" t="s">
        <v>980</v>
      </c>
      <c r="E30" s="353">
        <v>19902.717280000001</v>
      </c>
      <c r="F30" s="109"/>
      <c r="G30" s="4"/>
      <c r="H30" s="119">
        <f t="shared" si="1"/>
        <v>20</v>
      </c>
      <c r="J30" s="164"/>
    </row>
    <row r="31" spans="1:10">
      <c r="A31" s="119">
        <f t="shared" si="0"/>
        <v>21</v>
      </c>
      <c r="E31" s="342"/>
      <c r="F31" s="109"/>
      <c r="G31" s="4"/>
      <c r="H31" s="119">
        <f t="shared" si="1"/>
        <v>21</v>
      </c>
      <c r="J31" s="164"/>
    </row>
    <row r="32" spans="1:10">
      <c r="A32" s="119">
        <f t="shared" si="0"/>
        <v>22</v>
      </c>
      <c r="B32" s="383" t="s">
        <v>695</v>
      </c>
      <c r="C32" s="247" t="s">
        <v>1010</v>
      </c>
      <c r="E32" s="997">
        <v>7.8559999999999999</v>
      </c>
      <c r="F32" s="109"/>
      <c r="G32" s="1233"/>
      <c r="H32" s="119">
        <f t="shared" si="1"/>
        <v>22</v>
      </c>
      <c r="J32" s="164"/>
    </row>
    <row r="33" spans="1:10">
      <c r="A33" s="119">
        <f t="shared" si="0"/>
        <v>23</v>
      </c>
      <c r="B33" s="383"/>
      <c r="E33" s="60"/>
      <c r="F33" s="109"/>
      <c r="G33" s="4"/>
      <c r="H33" s="119">
        <f t="shared" si="1"/>
        <v>23</v>
      </c>
      <c r="J33" s="164"/>
    </row>
    <row r="34" spans="1:10">
      <c r="A34" s="119">
        <f t="shared" si="0"/>
        <v>24</v>
      </c>
      <c r="B34" s="383" t="s">
        <v>696</v>
      </c>
      <c r="E34" s="60">
        <f>E30+E32</f>
        <v>19910.573280000001</v>
      </c>
      <c r="F34" s="109"/>
      <c r="G34" s="4" t="str">
        <f>"Line "&amp;A30&amp;" + Line "&amp;A32</f>
        <v>Line 20 + Line 22</v>
      </c>
      <c r="H34" s="119">
        <f t="shared" si="1"/>
        <v>24</v>
      </c>
      <c r="J34" s="164"/>
    </row>
    <row r="35" spans="1:10">
      <c r="A35" s="119">
        <f t="shared" si="0"/>
        <v>25</v>
      </c>
      <c r="E35" s="342"/>
      <c r="F35" s="109"/>
      <c r="G35" s="4"/>
      <c r="H35" s="119">
        <f t="shared" si="1"/>
        <v>25</v>
      </c>
    </row>
    <row r="36" spans="1:10">
      <c r="A36" s="119">
        <f t="shared" si="0"/>
        <v>26</v>
      </c>
      <c r="B36" s="136" t="s">
        <v>197</v>
      </c>
      <c r="E36" s="1022">
        <f>'Stmt AI'!E27</f>
        <v>0.1045186789759834</v>
      </c>
      <c r="F36" s="109"/>
      <c r="G36" s="4" t="str">
        <f>"Statement AI; Line "&amp;'Stmt AI'!A27</f>
        <v>Statement AI; Line 17</v>
      </c>
      <c r="H36" s="119">
        <f t="shared" si="1"/>
        <v>26</v>
      </c>
    </row>
    <row r="37" spans="1:10">
      <c r="A37" s="119">
        <f t="shared" si="0"/>
        <v>27</v>
      </c>
      <c r="E37" s="381"/>
      <c r="F37" s="109"/>
      <c r="G37" s="4"/>
      <c r="H37" s="119">
        <f t="shared" si="1"/>
        <v>27</v>
      </c>
    </row>
    <row r="38" spans="1:10" ht="16.5" thickBot="1">
      <c r="A38" s="119">
        <f t="shared" si="0"/>
        <v>28</v>
      </c>
      <c r="B38" s="136" t="s">
        <v>697</v>
      </c>
      <c r="E38" s="1168">
        <f>E34*E36</f>
        <v>2081.0268168801126</v>
      </c>
      <c r="F38" s="109"/>
      <c r="G38" s="5" t="str">
        <f>"Line "&amp;A34&amp;" x Line "&amp;A36</f>
        <v>Line 24 x Line 26</v>
      </c>
      <c r="H38" s="119">
        <f t="shared" si="1"/>
        <v>28</v>
      </c>
    </row>
    <row r="39" spans="1:10" ht="16.5" thickTop="1">
      <c r="E39" s="382"/>
      <c r="F39" s="109"/>
      <c r="G39" s="769"/>
      <c r="H39" s="119"/>
      <c r="J39" s="247"/>
    </row>
    <row r="40" spans="1:10">
      <c r="B40" s="136" t="s">
        <v>185</v>
      </c>
      <c r="E40" s="342"/>
      <c r="F40" s="342"/>
      <c r="J40" s="204"/>
    </row>
    <row r="41" spans="1:10" ht="18.75">
      <c r="A41" s="135">
        <v>1</v>
      </c>
      <c r="B41" s="136" t="s">
        <v>1004</v>
      </c>
    </row>
    <row r="42" spans="1:10" ht="18.75">
      <c r="A42" s="135">
        <v>2</v>
      </c>
      <c r="B42" s="136" t="s">
        <v>981</v>
      </c>
    </row>
    <row r="43" spans="1:10" ht="18.75">
      <c r="A43" s="135">
        <v>3</v>
      </c>
      <c r="B43" s="136" t="s">
        <v>894</v>
      </c>
    </row>
    <row r="44" spans="1:10" ht="18.75">
      <c r="A44" s="135">
        <v>4</v>
      </c>
      <c r="B44" s="136" t="s">
        <v>1003</v>
      </c>
    </row>
    <row r="45" spans="1:10">
      <c r="A45"/>
      <c r="B45"/>
    </row>
    <row r="46" spans="1:10">
      <c r="A46"/>
      <c r="B46"/>
      <c r="C46" s="16"/>
    </row>
    <row r="47" spans="1:10">
      <c r="A47"/>
      <c r="B47"/>
      <c r="C47" s="16"/>
    </row>
    <row r="48" spans="1:10" ht="18.75">
      <c r="A48" s="135"/>
      <c r="B48" s="1208"/>
      <c r="C48" s="16"/>
    </row>
    <row r="49" spans="2:3">
      <c r="B49" s="1208"/>
      <c r="C49" s="16"/>
    </row>
    <row r="50" spans="2:3">
      <c r="B50" s="1208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2" orientation="portrait" r:id="rId1"/>
  <headerFooter scaleWithDoc="0">
    <oddFooter>&amp;C&amp;"Times New Roman,Regular"&amp;10AK</oddFooter>
  </headerFooter>
  <customProperties>
    <customPr name="_pios_id" r:id="rId2"/>
  </customProperties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34"/>
  <sheetViews>
    <sheetView zoomScale="80" zoomScaleNormal="80" zoomScalePageLayoutView="80" workbookViewId="0">
      <selection activeCell="C38" sqref="C38"/>
    </sheetView>
  </sheetViews>
  <sheetFormatPr defaultColWidth="8.5703125" defaultRowHeight="15.75"/>
  <cols>
    <col min="1" max="1" width="5.140625" style="119" bestFit="1" customWidth="1"/>
    <col min="2" max="2" width="68.5703125" style="136" customWidth="1"/>
    <col min="3" max="3" width="25.85546875" style="350" bestFit="1" customWidth="1"/>
    <col min="4" max="4" width="1.5703125" style="136" customWidth="1"/>
    <col min="5" max="5" width="16.5703125" style="136" customWidth="1"/>
    <col min="6" max="6" width="1.5703125" style="136" customWidth="1"/>
    <col min="7" max="7" width="16.5703125" style="136" customWidth="1"/>
    <col min="8" max="8" width="1.5703125" style="136" customWidth="1"/>
    <col min="9" max="9" width="37.5703125" style="136" customWidth="1"/>
    <col min="10" max="10" width="5.140625" style="136" customWidth="1"/>
    <col min="11" max="16384" width="8.5703125" style="136"/>
  </cols>
  <sheetData>
    <row r="1" spans="1:10">
      <c r="H1" s="119"/>
      <c r="I1" s="119"/>
      <c r="J1" s="119"/>
    </row>
    <row r="2" spans="1:10">
      <c r="B2" s="1287" t="s">
        <v>0</v>
      </c>
      <c r="C2" s="1303"/>
      <c r="D2" s="1303"/>
      <c r="E2" s="1303"/>
      <c r="F2" s="1303"/>
      <c r="G2" s="1303"/>
      <c r="H2" s="1303"/>
      <c r="I2" s="1303"/>
      <c r="J2" s="109"/>
    </row>
    <row r="3" spans="1:10">
      <c r="B3" s="1287" t="s">
        <v>698</v>
      </c>
      <c r="C3" s="1303"/>
      <c r="D3" s="1303"/>
      <c r="E3" s="1303"/>
      <c r="F3" s="1303"/>
      <c r="G3" s="1303"/>
      <c r="H3" s="1303"/>
      <c r="I3" s="1303"/>
      <c r="J3" s="109"/>
    </row>
    <row r="4" spans="1:10">
      <c r="B4" s="1287" t="s">
        <v>699</v>
      </c>
      <c r="C4" s="1303"/>
      <c r="D4" s="1303"/>
      <c r="E4" s="1303"/>
      <c r="F4" s="1303"/>
      <c r="G4" s="1303"/>
      <c r="H4" s="1303"/>
      <c r="I4" s="1303"/>
      <c r="J4" s="109"/>
    </row>
    <row r="5" spans="1:10">
      <c r="B5" s="1289" t="str">
        <f>'A. Sec.1 - Direct Maintenance'!B5</f>
        <v>Base Period &amp; True-Up Period 12 - Months Ending December 31, 2024</v>
      </c>
      <c r="C5" s="1289"/>
      <c r="D5" s="1289"/>
      <c r="E5" s="1289"/>
      <c r="F5" s="1289"/>
      <c r="G5" s="1289"/>
      <c r="H5" s="1289"/>
      <c r="I5" s="1289"/>
      <c r="J5" s="109"/>
    </row>
    <row r="6" spans="1:10">
      <c r="B6" s="1291" t="s">
        <v>3</v>
      </c>
      <c r="C6" s="1291"/>
      <c r="D6" s="1291"/>
      <c r="E6" s="1291"/>
      <c r="F6" s="1291"/>
      <c r="G6" s="1291"/>
      <c r="H6" s="1291"/>
      <c r="I6" s="1291"/>
      <c r="J6" s="110"/>
    </row>
    <row r="7" spans="1:10">
      <c r="B7" s="119"/>
      <c r="D7" s="119"/>
      <c r="E7" s="119"/>
      <c r="F7" s="119"/>
      <c r="G7" s="119"/>
      <c r="H7" s="109"/>
      <c r="I7" s="109"/>
      <c r="J7" s="109"/>
    </row>
    <row r="8" spans="1:10">
      <c r="A8" s="119" t="s">
        <v>4</v>
      </c>
      <c r="B8" s="109"/>
      <c r="C8" s="247" t="s">
        <v>188</v>
      </c>
      <c r="D8" s="119"/>
      <c r="E8" s="119" t="s">
        <v>700</v>
      </c>
      <c r="F8" s="119"/>
      <c r="G8" s="119" t="s">
        <v>701</v>
      </c>
      <c r="H8" s="109"/>
      <c r="I8" s="109"/>
      <c r="J8" s="119" t="s">
        <v>4</v>
      </c>
    </row>
    <row r="9" spans="1:10">
      <c r="A9" s="119" t="s">
        <v>5</v>
      </c>
      <c r="B9" s="109"/>
      <c r="C9" s="994" t="s">
        <v>190</v>
      </c>
      <c r="D9" s="109"/>
      <c r="E9" s="1008" t="s">
        <v>702</v>
      </c>
      <c r="F9" s="109"/>
      <c r="G9" s="1008" t="s">
        <v>191</v>
      </c>
      <c r="H9" s="109"/>
      <c r="I9" s="1009" t="s">
        <v>8</v>
      </c>
      <c r="J9" s="119" t="s">
        <v>5</v>
      </c>
    </row>
    <row r="10" spans="1:10">
      <c r="B10" s="119"/>
      <c r="D10" s="119"/>
      <c r="E10" s="119"/>
      <c r="F10" s="119"/>
      <c r="G10" s="119"/>
      <c r="H10" s="119"/>
      <c r="I10" s="119"/>
      <c r="J10" s="119"/>
    </row>
    <row r="11" spans="1:10" ht="18.75">
      <c r="A11" s="119">
        <v>1</v>
      </c>
      <c r="B11" s="136" t="s">
        <v>917</v>
      </c>
      <c r="C11" s="247" t="s">
        <v>1005</v>
      </c>
      <c r="E11" s="351"/>
      <c r="F11" s="352"/>
      <c r="G11" s="353">
        <f>'AL-1'!C32</f>
        <v>155266.94199999998</v>
      </c>
      <c r="H11" s="352"/>
      <c r="I11" s="354" t="str">
        <f>"AL-1; Line "&amp;'AL-1'!A32</f>
        <v>AL-1; Line 18</v>
      </c>
      <c r="J11" s="119">
        <f>A11</f>
        <v>1</v>
      </c>
    </row>
    <row r="12" spans="1:10">
      <c r="A12" s="119">
        <f>+A11+1</f>
        <v>2</v>
      </c>
      <c r="C12" s="119"/>
      <c r="E12" s="342"/>
      <c r="F12" s="355"/>
      <c r="G12" s="355"/>
      <c r="H12" s="355"/>
      <c r="I12" s="354"/>
      <c r="J12" s="119">
        <f>+J11+1</f>
        <v>2</v>
      </c>
    </row>
    <row r="13" spans="1:10">
      <c r="A13" s="119">
        <f t="shared" ref="A13:A29" si="0">+A12+1</f>
        <v>3</v>
      </c>
      <c r="B13" s="136" t="s">
        <v>703</v>
      </c>
      <c r="C13" s="119"/>
      <c r="E13" s="356"/>
      <c r="F13" s="357"/>
      <c r="G13" s="1010">
        <f>'Stmt AD'!I45</f>
        <v>0.3651044590597165</v>
      </c>
      <c r="H13" s="352"/>
      <c r="I13" s="354" t="str">
        <f>"Statement AD; Line "&amp;'Stmt AD'!A45</f>
        <v>Statement AD; Line 35</v>
      </c>
      <c r="J13" s="119">
        <f t="shared" ref="J13:J29" si="1">+J12+1</f>
        <v>3</v>
      </c>
    </row>
    <row r="14" spans="1:10">
      <c r="A14" s="119">
        <f t="shared" si="0"/>
        <v>4</v>
      </c>
      <c r="C14" s="119"/>
      <c r="E14" s="342"/>
      <c r="F14" s="355"/>
      <c r="G14" s="342"/>
      <c r="H14" s="355"/>
      <c r="I14" s="354"/>
      <c r="J14" s="119">
        <f t="shared" si="1"/>
        <v>4</v>
      </c>
    </row>
    <row r="15" spans="1:10" ht="16.5" thickBot="1">
      <c r="A15" s="119">
        <f t="shared" si="0"/>
        <v>5</v>
      </c>
      <c r="B15" s="136" t="s">
        <v>704</v>
      </c>
      <c r="C15" s="119"/>
      <c r="E15" s="358"/>
      <c r="F15" s="355"/>
      <c r="G15" s="359">
        <f>G11*G13</f>
        <v>56688.652868766367</v>
      </c>
      <c r="H15" s="352"/>
      <c r="I15" s="354" t="str">
        <f>"Line "&amp;A11&amp;" x Line "&amp;A13</f>
        <v>Line 1 x Line 3</v>
      </c>
      <c r="J15" s="119">
        <f t="shared" si="1"/>
        <v>5</v>
      </c>
    </row>
    <row r="16" spans="1:10" ht="16.5" thickTop="1">
      <c r="A16" s="119">
        <f t="shared" si="0"/>
        <v>6</v>
      </c>
      <c r="C16" s="119"/>
      <c r="E16" s="183"/>
      <c r="F16" s="119"/>
      <c r="G16" s="119"/>
      <c r="H16" s="119"/>
      <c r="I16" s="354"/>
      <c r="J16" s="119">
        <f t="shared" si="1"/>
        <v>6</v>
      </c>
    </row>
    <row r="17" spans="1:11" ht="18.75">
      <c r="A17" s="119">
        <f t="shared" si="0"/>
        <v>7</v>
      </c>
      <c r="B17" s="216" t="s">
        <v>999</v>
      </c>
      <c r="C17" s="119" t="s">
        <v>1006</v>
      </c>
      <c r="D17" s="349"/>
      <c r="E17" s="351"/>
      <c r="F17" s="355"/>
      <c r="G17" s="1023">
        <f>'AL-2'!C30</f>
        <v>93582.065615384607</v>
      </c>
      <c r="H17" s="352"/>
      <c r="I17" s="354" t="str">
        <f>"AL-2; Line "&amp;'AL-2'!A30</f>
        <v>AL-2; Line 18</v>
      </c>
      <c r="J17" s="119">
        <f t="shared" si="1"/>
        <v>7</v>
      </c>
    </row>
    <row r="18" spans="1:11">
      <c r="A18" s="119">
        <f t="shared" si="0"/>
        <v>8</v>
      </c>
      <c r="C18" s="119"/>
      <c r="E18" s="360"/>
      <c r="F18" s="355"/>
      <c r="G18" s="355"/>
      <c r="H18" s="355"/>
      <c r="I18" s="354"/>
      <c r="J18" s="119">
        <f t="shared" si="1"/>
        <v>8</v>
      </c>
    </row>
    <row r="19" spans="1:11" ht="16.5" thickBot="1">
      <c r="A19" s="119">
        <f t="shared" si="0"/>
        <v>9</v>
      </c>
      <c r="B19" s="136" t="s">
        <v>705</v>
      </c>
      <c r="E19" s="351"/>
      <c r="F19" s="355"/>
      <c r="G19" s="359">
        <f>G13*G17</f>
        <v>34167.229444195895</v>
      </c>
      <c r="H19" s="352"/>
      <c r="I19" s="354" t="str">
        <f>"Line "&amp;A13&amp;" x Line "&amp;A17</f>
        <v>Line 3 x Line 7</v>
      </c>
      <c r="J19" s="119">
        <f t="shared" si="1"/>
        <v>9</v>
      </c>
    </row>
    <row r="20" spans="1:11" ht="16.5" thickTop="1">
      <c r="A20" s="119">
        <f t="shared" si="0"/>
        <v>10</v>
      </c>
      <c r="E20" s="361"/>
      <c r="F20" s="355"/>
      <c r="G20" s="355"/>
      <c r="H20" s="355"/>
      <c r="I20" s="354"/>
      <c r="J20" s="119">
        <f t="shared" si="1"/>
        <v>10</v>
      </c>
    </row>
    <row r="21" spans="1:11">
      <c r="A21" s="119">
        <f t="shared" si="0"/>
        <v>11</v>
      </c>
      <c r="B21" s="362" t="s">
        <v>706</v>
      </c>
      <c r="E21" s="361"/>
      <c r="F21" s="355"/>
      <c r="G21" s="355"/>
      <c r="H21" s="355"/>
      <c r="I21" s="354"/>
      <c r="J21" s="119">
        <f t="shared" si="1"/>
        <v>11</v>
      </c>
    </row>
    <row r="22" spans="1:11">
      <c r="A22" s="119">
        <f t="shared" si="0"/>
        <v>12</v>
      </c>
      <c r="B22" s="136" t="s">
        <v>707</v>
      </c>
      <c r="E22" s="363">
        <f>'Stmt AH'!E27</f>
        <v>49470.844099999958</v>
      </c>
      <c r="F22" s="355"/>
      <c r="G22" s="364"/>
      <c r="H22" s="355"/>
      <c r="I22" s="354" t="str">
        <f>"Statement AH; Line "&amp;'Stmt AH'!A27</f>
        <v>Statement AH; Line 17</v>
      </c>
      <c r="J22" s="119">
        <f t="shared" si="1"/>
        <v>12</v>
      </c>
    </row>
    <row r="23" spans="1:11">
      <c r="A23" s="119">
        <f t="shared" si="0"/>
        <v>13</v>
      </c>
      <c r="B23" s="136" t="s">
        <v>708</v>
      </c>
      <c r="E23" s="365">
        <f>'Stmt AH'!E49</f>
        <v>52475.072202830677</v>
      </c>
      <c r="F23" s="110"/>
      <c r="G23" s="366"/>
      <c r="H23" s="355"/>
      <c r="I23" s="354" t="str">
        <f>"Statement AH; Line "&amp;'Stmt AH'!A49</f>
        <v>Statement AH; Line 39</v>
      </c>
      <c r="J23" s="119">
        <f t="shared" si="1"/>
        <v>13</v>
      </c>
    </row>
    <row r="24" spans="1:11">
      <c r="A24" s="119">
        <f t="shared" si="0"/>
        <v>14</v>
      </c>
      <c r="B24" s="136" t="s">
        <v>402</v>
      </c>
      <c r="E24" s="1024">
        <f>-'Stmt AH'!E34</f>
        <v>0</v>
      </c>
      <c r="F24" s="355"/>
      <c r="G24" s="366"/>
      <c r="H24" s="355"/>
      <c r="I24" s="354" t="str">
        <f>"Negative of Statement AH; Line "&amp;'Stmt AH'!A34</f>
        <v>Negative of Statement AH; Line 24</v>
      </c>
      <c r="J24" s="119">
        <f t="shared" si="1"/>
        <v>14</v>
      </c>
      <c r="K24" s="193"/>
    </row>
    <row r="25" spans="1:11">
      <c r="A25" s="119">
        <f t="shared" si="0"/>
        <v>15</v>
      </c>
      <c r="B25" s="136" t="s">
        <v>709</v>
      </c>
      <c r="E25" s="367">
        <f>SUM(E22:E24)</f>
        <v>101945.91630283064</v>
      </c>
      <c r="F25" s="110"/>
      <c r="G25" s="349"/>
      <c r="H25" s="354"/>
      <c r="I25" s="354" t="str">
        <f>"Sum Lines "&amp;A22&amp;" thru "&amp;A24</f>
        <v>Sum Lines 12 thru 14</v>
      </c>
      <c r="J25" s="119">
        <f t="shared" si="1"/>
        <v>15</v>
      </c>
    </row>
    <row r="26" spans="1:11">
      <c r="A26" s="119">
        <f t="shared" si="0"/>
        <v>16</v>
      </c>
      <c r="F26" s="119"/>
      <c r="H26" s="119"/>
      <c r="I26" s="354"/>
      <c r="J26" s="119">
        <f t="shared" si="1"/>
        <v>16</v>
      </c>
    </row>
    <row r="27" spans="1:11">
      <c r="A27" s="119">
        <f t="shared" si="0"/>
        <v>17</v>
      </c>
      <c r="B27" s="136" t="s">
        <v>710</v>
      </c>
      <c r="E27" s="1025">
        <f>1/8</f>
        <v>0.125</v>
      </c>
      <c r="F27" s="119"/>
      <c r="G27" s="368"/>
      <c r="H27" s="119"/>
      <c r="I27" s="354" t="s">
        <v>28</v>
      </c>
      <c r="J27" s="119">
        <f t="shared" si="1"/>
        <v>17</v>
      </c>
    </row>
    <row r="28" spans="1:11">
      <c r="A28" s="119">
        <f t="shared" si="0"/>
        <v>18</v>
      </c>
      <c r="E28" s="342" t="s">
        <v>185</v>
      </c>
      <c r="F28" s="355"/>
      <c r="G28" s="342"/>
      <c r="H28" s="355"/>
      <c r="I28" s="354"/>
      <c r="J28" s="119">
        <f t="shared" si="1"/>
        <v>18</v>
      </c>
    </row>
    <row r="29" spans="1:11" ht="16.5" thickBot="1">
      <c r="A29" s="119">
        <f t="shared" si="0"/>
        <v>19</v>
      </c>
      <c r="B29" s="136" t="s">
        <v>711</v>
      </c>
      <c r="E29" s="359">
        <f>E25*E27</f>
        <v>12743.239537853829</v>
      </c>
      <c r="F29" s="110"/>
      <c r="G29" s="358"/>
      <c r="H29" s="355"/>
      <c r="I29" s="119" t="str">
        <f>"Line "&amp;A25&amp;" x Line "&amp;A27</f>
        <v>Line 15 x Line 17</v>
      </c>
      <c r="J29" s="119">
        <f t="shared" si="1"/>
        <v>19</v>
      </c>
    </row>
    <row r="30" spans="1:11" ht="16.5" thickTop="1">
      <c r="B30" s="371"/>
    </row>
    <row r="32" spans="1:11" ht="18.75">
      <c r="A32" s="372">
        <v>1</v>
      </c>
      <c r="B32" s="136" t="s">
        <v>712</v>
      </c>
    </row>
    <row r="33" spans="1:2">
      <c r="A33"/>
      <c r="B33"/>
    </row>
    <row r="34" spans="1:2">
      <c r="A34"/>
      <c r="B34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Roman,Regular"&amp;10AL</oddFooter>
  </headerFooter>
  <customProperties>
    <customPr name="_pios_id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2:I38"/>
  <sheetViews>
    <sheetView zoomScale="80" zoomScaleNormal="80" zoomScalePageLayoutView="80" workbookViewId="0">
      <selection activeCell="C15" sqref="C15:C27"/>
    </sheetView>
  </sheetViews>
  <sheetFormatPr defaultColWidth="9.140625" defaultRowHeight="15.75"/>
  <cols>
    <col min="1" max="1" width="5.140625" style="109" customWidth="1"/>
    <col min="2" max="2" width="43.140625" style="110" customWidth="1"/>
    <col min="3" max="3" width="20.5703125" style="114" customWidth="1"/>
    <col min="4" max="4" width="48.42578125" style="173" customWidth="1"/>
    <col min="5" max="5" width="5.140625" style="173" customWidth="1"/>
    <col min="6" max="6" width="21.140625" style="114" customWidth="1"/>
    <col min="7" max="7" width="20.140625" style="114" customWidth="1"/>
    <col min="8" max="8" width="17.42578125" style="114" customWidth="1"/>
    <col min="9" max="9" width="16.5703125" style="114" customWidth="1"/>
    <col min="10" max="10" width="21.140625" style="110" customWidth="1"/>
    <col min="11" max="11" width="15" style="110" customWidth="1"/>
    <col min="12" max="12" width="11" style="110" customWidth="1"/>
    <col min="13" max="13" width="7.140625" style="110" customWidth="1"/>
    <col min="14" max="14" width="9.140625" style="110" customWidth="1"/>
    <col min="15" max="15" width="14" style="110" customWidth="1"/>
    <col min="16" max="16" width="13.42578125" style="110" customWidth="1"/>
    <col min="17" max="16384" width="9.140625" style="110"/>
  </cols>
  <sheetData>
    <row r="2" spans="1:6">
      <c r="B2" s="1287" t="s">
        <v>0</v>
      </c>
      <c r="C2" s="1287"/>
      <c r="D2" s="1287"/>
      <c r="E2" s="173" t="s">
        <v>185</v>
      </c>
      <c r="F2" s="110"/>
    </row>
    <row r="3" spans="1:6">
      <c r="B3" s="1287" t="s">
        <v>713</v>
      </c>
      <c r="C3" s="1287"/>
      <c r="D3" s="1287"/>
      <c r="E3" s="173" t="s">
        <v>185</v>
      </c>
      <c r="F3" s="110"/>
    </row>
    <row r="4" spans="1:6">
      <c r="B4" s="1287" t="s">
        <v>714</v>
      </c>
      <c r="C4" s="1287"/>
      <c r="D4" s="1287"/>
      <c r="E4" s="173" t="s">
        <v>185</v>
      </c>
      <c r="F4" s="110"/>
    </row>
    <row r="5" spans="1:6">
      <c r="B5" s="1287" t="str">
        <f>"BASE PERIOD / TRUE UP PERIOD - 12/31/"&amp;Automation!$B$3&amp;" PER BOOK"</f>
        <v>BASE PERIOD / TRUE UP PERIOD - 12/31/2024 PER BOOK</v>
      </c>
      <c r="C5" s="1287"/>
      <c r="D5" s="1287"/>
      <c r="E5" s="109"/>
      <c r="F5" s="110"/>
    </row>
    <row r="6" spans="1:6">
      <c r="B6" s="1304" t="s">
        <v>3</v>
      </c>
      <c r="C6" s="1304"/>
      <c r="D6" s="1304"/>
      <c r="E6" s="173" t="s">
        <v>185</v>
      </c>
      <c r="F6" s="112"/>
    </row>
    <row r="7" spans="1:6">
      <c r="B7" s="333"/>
      <c r="C7" s="112"/>
      <c r="F7" s="112"/>
    </row>
    <row r="8" spans="1:6">
      <c r="B8" s="1287" t="s">
        <v>715</v>
      </c>
      <c r="C8" s="1287"/>
      <c r="D8" s="1287"/>
      <c r="E8" s="109"/>
      <c r="F8" s="112"/>
    </row>
    <row r="9" spans="1:6">
      <c r="B9" s="1287" t="s">
        <v>716</v>
      </c>
      <c r="C9" s="1287"/>
      <c r="D9" s="1287"/>
      <c r="E9" s="109"/>
    </row>
    <row r="10" spans="1:6">
      <c r="B10" s="1026"/>
      <c r="C10" s="1027"/>
      <c r="D10" s="214"/>
      <c r="E10" s="173" t="s">
        <v>185</v>
      </c>
    </row>
    <row r="11" spans="1:6">
      <c r="B11" s="857"/>
      <c r="C11" s="955" t="s">
        <v>80</v>
      </c>
      <c r="D11" s="859"/>
      <c r="E11" s="119"/>
      <c r="F11" s="136"/>
    </row>
    <row r="12" spans="1:6">
      <c r="B12" s="120"/>
      <c r="C12" s="116" t="s">
        <v>717</v>
      </c>
      <c r="D12" s="116"/>
      <c r="E12" s="119"/>
      <c r="F12" s="136"/>
    </row>
    <row r="13" spans="1:6">
      <c r="A13" s="119" t="s">
        <v>4</v>
      </c>
      <c r="B13" s="116"/>
      <c r="C13" s="116" t="s">
        <v>718</v>
      </c>
      <c r="D13" s="116"/>
      <c r="E13" s="119" t="s">
        <v>4</v>
      </c>
      <c r="F13" s="136"/>
    </row>
    <row r="14" spans="1:6">
      <c r="A14" s="119" t="s">
        <v>5</v>
      </c>
      <c r="B14" s="1012" t="s">
        <v>123</v>
      </c>
      <c r="C14" s="116" t="s">
        <v>719</v>
      </c>
      <c r="D14" s="1012" t="s">
        <v>8</v>
      </c>
      <c r="E14" s="119" t="s">
        <v>5</v>
      </c>
      <c r="F14" s="136"/>
    </row>
    <row r="15" spans="1:6">
      <c r="A15" s="334">
        <v>1</v>
      </c>
      <c r="B15" s="122" t="str">
        <f>"Dec-"&amp;RIGHT(Automation!$B$3-1,2)</f>
        <v>Dec-23</v>
      </c>
      <c r="C15" s="1028">
        <v>141620.29500000001</v>
      </c>
      <c r="D15" s="207" t="s">
        <v>215</v>
      </c>
      <c r="E15" s="334">
        <f>A15</f>
        <v>1</v>
      </c>
      <c r="F15" s="335"/>
    </row>
    <row r="16" spans="1:6">
      <c r="A16" s="334">
        <f>A15+1</f>
        <v>2</v>
      </c>
      <c r="B16" s="122" t="str">
        <f>"Jan-"&amp;RIGHT(Automation!$B$3,2)</f>
        <v>Jan-24</v>
      </c>
      <c r="C16" s="182">
        <v>141760.038</v>
      </c>
      <c r="D16" s="207"/>
      <c r="E16" s="334">
        <f>E15+1</f>
        <v>2</v>
      </c>
      <c r="F16" s="335"/>
    </row>
    <row r="17" spans="1:8">
      <c r="A17" s="334">
        <f t="shared" ref="A17:A32" si="0">A16+1</f>
        <v>3</v>
      </c>
      <c r="B17" s="122" t="s">
        <v>216</v>
      </c>
      <c r="C17" s="182">
        <v>143351.13699999999</v>
      </c>
      <c r="D17" s="207"/>
      <c r="E17" s="334">
        <f t="shared" ref="E17:E32" si="1">E16+1</f>
        <v>3</v>
      </c>
      <c r="F17" s="335"/>
    </row>
    <row r="18" spans="1:8">
      <c r="A18" s="334">
        <f t="shared" si="0"/>
        <v>4</v>
      </c>
      <c r="B18" s="122" t="s">
        <v>217</v>
      </c>
      <c r="C18" s="182">
        <v>143516.72899999999</v>
      </c>
      <c r="D18" s="207"/>
      <c r="E18" s="334">
        <f t="shared" si="1"/>
        <v>4</v>
      </c>
      <c r="F18" s="335"/>
    </row>
    <row r="19" spans="1:8">
      <c r="A19" s="334">
        <f t="shared" si="0"/>
        <v>5</v>
      </c>
      <c r="B19" s="122" t="s">
        <v>218</v>
      </c>
      <c r="C19" s="182">
        <v>142858.663</v>
      </c>
      <c r="D19" s="207"/>
      <c r="E19" s="334">
        <f t="shared" si="1"/>
        <v>5</v>
      </c>
      <c r="F19" s="335"/>
    </row>
    <row r="20" spans="1:8">
      <c r="A20" s="334">
        <f t="shared" si="0"/>
        <v>6</v>
      </c>
      <c r="B20" s="122" t="s">
        <v>160</v>
      </c>
      <c r="C20" s="182">
        <v>143666.726</v>
      </c>
      <c r="D20" s="207"/>
      <c r="E20" s="334">
        <f t="shared" si="1"/>
        <v>6</v>
      </c>
      <c r="F20" s="335"/>
    </row>
    <row r="21" spans="1:8">
      <c r="A21" s="334">
        <f t="shared" si="0"/>
        <v>7</v>
      </c>
      <c r="B21" s="122" t="s">
        <v>219</v>
      </c>
      <c r="C21" s="182">
        <v>146867.34099999999</v>
      </c>
      <c r="D21" s="207"/>
      <c r="E21" s="334">
        <f t="shared" si="1"/>
        <v>7</v>
      </c>
      <c r="F21" s="335"/>
    </row>
    <row r="22" spans="1:8">
      <c r="A22" s="334">
        <f t="shared" si="0"/>
        <v>8</v>
      </c>
      <c r="B22" s="122" t="s">
        <v>220</v>
      </c>
      <c r="C22" s="182">
        <v>150595.53899999999</v>
      </c>
      <c r="D22" s="207"/>
      <c r="E22" s="334">
        <f t="shared" si="1"/>
        <v>8</v>
      </c>
      <c r="F22" s="335"/>
    </row>
    <row r="23" spans="1:8">
      <c r="A23" s="334">
        <f t="shared" si="0"/>
        <v>9</v>
      </c>
      <c r="B23" s="122" t="s">
        <v>221</v>
      </c>
      <c r="C23" s="182">
        <v>157047.31099999999</v>
      </c>
      <c r="D23" s="207"/>
      <c r="E23" s="334">
        <f t="shared" si="1"/>
        <v>9</v>
      </c>
      <c r="F23" s="335"/>
    </row>
    <row r="24" spans="1:8">
      <c r="A24" s="334">
        <f t="shared" si="0"/>
        <v>10</v>
      </c>
      <c r="B24" s="122" t="s">
        <v>222</v>
      </c>
      <c r="C24" s="182">
        <v>167481.70199999999</v>
      </c>
      <c r="D24" s="207"/>
      <c r="E24" s="334">
        <f t="shared" si="1"/>
        <v>10</v>
      </c>
      <c r="F24" s="335"/>
    </row>
    <row r="25" spans="1:8">
      <c r="A25" s="334">
        <f t="shared" si="0"/>
        <v>11</v>
      </c>
      <c r="B25" s="122" t="s">
        <v>223</v>
      </c>
      <c r="C25" s="182">
        <v>173410.20300000001</v>
      </c>
      <c r="D25" s="207"/>
      <c r="E25" s="334">
        <f t="shared" si="1"/>
        <v>11</v>
      </c>
      <c r="F25" s="335"/>
    </row>
    <row r="26" spans="1:8">
      <c r="A26" s="334">
        <f t="shared" si="0"/>
        <v>12</v>
      </c>
      <c r="B26" s="122" t="s">
        <v>224</v>
      </c>
      <c r="C26" s="182">
        <v>178982.45300000001</v>
      </c>
      <c r="D26" s="208"/>
      <c r="E26" s="334">
        <f t="shared" si="1"/>
        <v>12</v>
      </c>
      <c r="F26" s="335"/>
    </row>
    <row r="27" spans="1:8">
      <c r="A27" s="334">
        <f t="shared" si="0"/>
        <v>13</v>
      </c>
      <c r="B27" s="1029" t="str">
        <f>"Dec-"&amp;RIGHT(Automation!$B$3,2)</f>
        <v>Dec-24</v>
      </c>
      <c r="C27" s="1030">
        <v>187312.109</v>
      </c>
      <c r="D27" s="1031" t="s">
        <v>215</v>
      </c>
      <c r="E27" s="334">
        <f t="shared" si="1"/>
        <v>13</v>
      </c>
      <c r="F27" s="335"/>
    </row>
    <row r="28" spans="1:8">
      <c r="A28" s="334">
        <f t="shared" si="0"/>
        <v>14</v>
      </c>
      <c r="B28" s="1032"/>
      <c r="C28" s="1033"/>
      <c r="D28" s="1034"/>
      <c r="E28" s="334">
        <f t="shared" si="1"/>
        <v>14</v>
      </c>
      <c r="F28" s="136"/>
    </row>
    <row r="29" spans="1:8">
      <c r="A29" s="334">
        <f t="shared" si="0"/>
        <v>15</v>
      </c>
      <c r="B29" s="130" t="s">
        <v>225</v>
      </c>
      <c r="C29" s="234">
        <f>SUM(C15:C27)</f>
        <v>2018470.2459999998</v>
      </c>
      <c r="D29" s="336" t="str">
        <f>"Sum Lines "&amp;A15&amp;" thru "&amp;A27</f>
        <v>Sum Lines 1 thru 13</v>
      </c>
      <c r="E29" s="334">
        <f t="shared" si="1"/>
        <v>15</v>
      </c>
      <c r="F29" s="136"/>
    </row>
    <row r="30" spans="1:8">
      <c r="A30" s="334">
        <f t="shared" si="0"/>
        <v>16</v>
      </c>
      <c r="B30" s="1013"/>
      <c r="C30" s="1035"/>
      <c r="D30" s="1031"/>
      <c r="E30" s="334">
        <f t="shared" si="1"/>
        <v>16</v>
      </c>
      <c r="F30" s="136"/>
    </row>
    <row r="31" spans="1:8">
      <c r="A31" s="334">
        <f t="shared" si="0"/>
        <v>17</v>
      </c>
      <c r="B31" s="857"/>
      <c r="C31" s="1036"/>
      <c r="D31" s="1037"/>
      <c r="E31" s="334">
        <f t="shared" si="1"/>
        <v>17</v>
      </c>
      <c r="F31" s="136"/>
    </row>
    <row r="32" spans="1:8">
      <c r="A32" s="334">
        <f t="shared" si="0"/>
        <v>18</v>
      </c>
      <c r="B32" s="130" t="s">
        <v>226</v>
      </c>
      <c r="C32" s="202">
        <f>C29/13</f>
        <v>155266.94199999998</v>
      </c>
      <c r="D32" s="1231" t="s">
        <v>1007</v>
      </c>
      <c r="E32" s="334">
        <f t="shared" si="1"/>
        <v>18</v>
      </c>
      <c r="H32" s="110"/>
    </row>
    <row r="33" spans="1:6">
      <c r="A33" s="334">
        <f>A32+1</f>
        <v>19</v>
      </c>
      <c r="B33" s="1013"/>
      <c r="C33" s="1038"/>
      <c r="D33" s="1039"/>
      <c r="E33" s="334">
        <f>E32+1</f>
        <v>19</v>
      </c>
      <c r="F33" s="136"/>
    </row>
    <row r="34" spans="1:6">
      <c r="A34" s="119"/>
    </row>
    <row r="36" spans="1:6" ht="18.75">
      <c r="A36" s="135"/>
      <c r="B36" s="1208"/>
      <c r="C36" s="337"/>
    </row>
    <row r="37" spans="1:6">
      <c r="A37" s="119"/>
      <c r="B37" s="1208"/>
      <c r="C37" s="337"/>
    </row>
    <row r="38" spans="1:6">
      <c r="A38" s="119"/>
      <c r="B38" s="1208"/>
    </row>
  </sheetData>
  <mergeCells count="7">
    <mergeCell ref="B8:D8"/>
    <mergeCell ref="B9:D9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3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2:F142"/>
  <sheetViews>
    <sheetView zoomScale="80" zoomScaleNormal="80" zoomScalePageLayoutView="80" workbookViewId="0">
      <selection activeCell="B36" sqref="B36"/>
    </sheetView>
  </sheetViews>
  <sheetFormatPr defaultColWidth="9.140625" defaultRowHeight="15.75"/>
  <cols>
    <col min="1" max="1" width="5.140625" style="109" customWidth="1"/>
    <col min="2" max="2" width="35.140625" style="110" customWidth="1"/>
    <col min="3" max="3" width="18.5703125" style="114" customWidth="1"/>
    <col min="4" max="4" width="62.5703125" style="114" customWidth="1"/>
    <col min="5" max="5" width="5.140625" style="340" customWidth="1"/>
    <col min="6" max="6" width="9.42578125" style="110" bestFit="1" customWidth="1"/>
    <col min="7" max="16384" width="9.140625" style="110"/>
  </cols>
  <sheetData>
    <row r="2" spans="1:6" s="136" customFormat="1">
      <c r="A2" s="119"/>
      <c r="B2" s="1287" t="s">
        <v>0</v>
      </c>
      <c r="C2" s="1287"/>
      <c r="D2" s="1287"/>
      <c r="E2" s="119"/>
      <c r="F2" s="110"/>
    </row>
    <row r="3" spans="1:6" s="136" customFormat="1">
      <c r="A3" s="119"/>
      <c r="B3" s="1287" t="s">
        <v>713</v>
      </c>
      <c r="C3" s="1287"/>
      <c r="D3" s="1287"/>
      <c r="E3" s="119"/>
      <c r="F3" s="110"/>
    </row>
    <row r="4" spans="1:6" s="136" customFormat="1">
      <c r="A4" s="119"/>
      <c r="B4" s="1287" t="s">
        <v>714</v>
      </c>
      <c r="C4" s="1287"/>
      <c r="D4" s="1287"/>
      <c r="E4" s="119"/>
      <c r="F4" s="110"/>
    </row>
    <row r="5" spans="1:6" s="136" customFormat="1">
      <c r="A5" s="119"/>
      <c r="B5" s="1287" t="str">
        <f>"BASE PERIOD / TRUE UP PERIOD - 12/31/"&amp;Automation!$B$3&amp;" PER BOOK"</f>
        <v>BASE PERIOD / TRUE UP PERIOD - 12/31/2024 PER BOOK</v>
      </c>
      <c r="C5" s="1287"/>
      <c r="D5" s="1287"/>
      <c r="E5" s="119"/>
      <c r="F5" s="110"/>
    </row>
    <row r="6" spans="1:6" s="136" customFormat="1">
      <c r="A6" s="119"/>
      <c r="B6" s="1304" t="s">
        <v>3</v>
      </c>
      <c r="C6" s="1304"/>
      <c r="D6" s="1304"/>
      <c r="E6" s="340" t="s">
        <v>185</v>
      </c>
    </row>
    <row r="7" spans="1:6" s="136" customFormat="1">
      <c r="A7" s="119"/>
      <c r="B7" s="1088"/>
      <c r="C7" s="1088"/>
      <c r="D7" s="1088"/>
      <c r="E7" s="340"/>
    </row>
    <row r="8" spans="1:6" s="136" customFormat="1">
      <c r="A8" s="119"/>
      <c r="B8" s="1287" t="s">
        <v>720</v>
      </c>
      <c r="C8" s="1287"/>
      <c r="D8" s="1287"/>
      <c r="E8" s="340" t="s">
        <v>185</v>
      </c>
    </row>
    <row r="9" spans="1:6" s="136" customFormat="1">
      <c r="A9" s="119"/>
      <c r="B9" s="1040"/>
      <c r="C9" s="1027"/>
      <c r="D9" s="337"/>
      <c r="E9" s="340"/>
    </row>
    <row r="10" spans="1:6" s="136" customFormat="1">
      <c r="A10" s="119"/>
      <c r="B10" s="1041"/>
      <c r="C10" s="955" t="s">
        <v>80</v>
      </c>
      <c r="D10" s="859"/>
    </row>
    <row r="11" spans="1:6" s="136" customFormat="1">
      <c r="A11" s="119" t="s">
        <v>4</v>
      </c>
      <c r="B11" s="116"/>
      <c r="C11" s="116" t="s">
        <v>717</v>
      </c>
      <c r="D11" s="116"/>
      <c r="E11" s="119" t="s">
        <v>4</v>
      </c>
    </row>
    <row r="12" spans="1:6" s="136" customFormat="1">
      <c r="A12" s="119" t="s">
        <v>5</v>
      </c>
      <c r="B12" s="1012" t="s">
        <v>123</v>
      </c>
      <c r="C12" s="116" t="s">
        <v>721</v>
      </c>
      <c r="D12" s="1012" t="s">
        <v>8</v>
      </c>
      <c r="E12" s="119" t="s">
        <v>5</v>
      </c>
    </row>
    <row r="13" spans="1:6" s="136" customFormat="1">
      <c r="A13" s="334">
        <v>1</v>
      </c>
      <c r="B13" s="122" t="str">
        <f>"Dec-"&amp;RIGHT(Automation!$B$3-1,2)</f>
        <v>Dec-23</v>
      </c>
      <c r="C13" s="1028">
        <v>95282.198999999993</v>
      </c>
      <c r="D13" s="207" t="s">
        <v>215</v>
      </c>
      <c r="E13" s="334">
        <f>A13</f>
        <v>1</v>
      </c>
      <c r="F13" s="338"/>
    </row>
    <row r="14" spans="1:6" s="136" customFormat="1">
      <c r="A14" s="334">
        <f>A13+1</f>
        <v>2</v>
      </c>
      <c r="B14" s="122" t="str">
        <f>"Jan-"&amp;RIGHT(Automation!$B$3,2)</f>
        <v>Jan-24</v>
      </c>
      <c r="C14" s="339">
        <v>99932.615000000005</v>
      </c>
      <c r="D14" s="207"/>
      <c r="E14" s="334">
        <f>E13+1</f>
        <v>2</v>
      </c>
      <c r="F14" s="338"/>
    </row>
    <row r="15" spans="1:6" s="136" customFormat="1">
      <c r="A15" s="334">
        <f t="shared" ref="A15:A30" si="0">A14+1</f>
        <v>3</v>
      </c>
      <c r="B15" s="122" t="s">
        <v>216</v>
      </c>
      <c r="C15" s="339">
        <v>84334.512000000002</v>
      </c>
      <c r="D15" s="207"/>
      <c r="E15" s="334">
        <f t="shared" ref="E15:E30" si="1">E14+1</f>
        <v>3</v>
      </c>
      <c r="F15" s="338"/>
    </row>
    <row r="16" spans="1:6" s="136" customFormat="1">
      <c r="A16" s="334">
        <f t="shared" si="0"/>
        <v>4</v>
      </c>
      <c r="B16" s="122" t="s">
        <v>217</v>
      </c>
      <c r="C16" s="339">
        <v>82949.673999999999</v>
      </c>
      <c r="D16" s="207"/>
      <c r="E16" s="334">
        <f t="shared" si="1"/>
        <v>4</v>
      </c>
      <c r="F16" s="338"/>
    </row>
    <row r="17" spans="1:6" s="136" customFormat="1">
      <c r="A17" s="334">
        <f t="shared" si="0"/>
        <v>5</v>
      </c>
      <c r="B17" s="122" t="s">
        <v>218</v>
      </c>
      <c r="C17" s="339">
        <v>112258.86900000001</v>
      </c>
      <c r="D17" s="207"/>
      <c r="E17" s="334">
        <f t="shared" si="1"/>
        <v>5</v>
      </c>
      <c r="F17" s="338"/>
    </row>
    <row r="18" spans="1:6" s="136" customFormat="1">
      <c r="A18" s="334">
        <f t="shared" si="0"/>
        <v>6</v>
      </c>
      <c r="B18" s="122" t="s">
        <v>160</v>
      </c>
      <c r="C18" s="339">
        <v>77821.956000000006</v>
      </c>
      <c r="D18" s="207"/>
      <c r="E18" s="334">
        <f t="shared" si="1"/>
        <v>6</v>
      </c>
      <c r="F18" s="338"/>
    </row>
    <row r="19" spans="1:6" s="136" customFormat="1">
      <c r="A19" s="334">
        <f t="shared" si="0"/>
        <v>7</v>
      </c>
      <c r="B19" s="122" t="s">
        <v>219</v>
      </c>
      <c r="C19" s="339">
        <v>46775.330999999998</v>
      </c>
      <c r="D19" s="207"/>
      <c r="E19" s="334">
        <f t="shared" si="1"/>
        <v>7</v>
      </c>
      <c r="F19" s="338"/>
    </row>
    <row r="20" spans="1:6" s="136" customFormat="1">
      <c r="A20" s="334">
        <f t="shared" si="0"/>
        <v>8</v>
      </c>
      <c r="B20" s="122" t="s">
        <v>220</v>
      </c>
      <c r="C20" s="339">
        <v>128197.17600000001</v>
      </c>
      <c r="D20" s="207"/>
      <c r="E20" s="334">
        <f t="shared" si="1"/>
        <v>8</v>
      </c>
      <c r="F20" s="338"/>
    </row>
    <row r="21" spans="1:6" s="136" customFormat="1">
      <c r="A21" s="334">
        <f t="shared" si="0"/>
        <v>9</v>
      </c>
      <c r="B21" s="122" t="s">
        <v>221</v>
      </c>
      <c r="C21" s="339">
        <v>113700.47199999999</v>
      </c>
      <c r="D21" s="207"/>
      <c r="E21" s="334">
        <f t="shared" si="1"/>
        <v>9</v>
      </c>
      <c r="F21" s="338"/>
    </row>
    <row r="22" spans="1:6" s="136" customFormat="1">
      <c r="A22" s="334">
        <f t="shared" si="0"/>
        <v>10</v>
      </c>
      <c r="B22" s="122" t="s">
        <v>222</v>
      </c>
      <c r="C22" s="339">
        <v>108028.802</v>
      </c>
      <c r="D22" s="207"/>
      <c r="E22" s="334">
        <f t="shared" si="1"/>
        <v>10</v>
      </c>
      <c r="F22" s="338"/>
    </row>
    <row r="23" spans="1:6" s="136" customFormat="1">
      <c r="A23" s="334">
        <f t="shared" si="0"/>
        <v>11</v>
      </c>
      <c r="B23" s="122" t="s">
        <v>223</v>
      </c>
      <c r="C23" s="339">
        <v>99546.172000000006</v>
      </c>
      <c r="D23" s="207"/>
      <c r="E23" s="334">
        <f t="shared" si="1"/>
        <v>11</v>
      </c>
      <c r="F23" s="338"/>
    </row>
    <row r="24" spans="1:6" s="136" customFormat="1">
      <c r="A24" s="334">
        <f t="shared" si="0"/>
        <v>12</v>
      </c>
      <c r="B24" s="122" t="s">
        <v>224</v>
      </c>
      <c r="C24" s="339">
        <v>84410.754000000001</v>
      </c>
      <c r="D24" s="207"/>
      <c r="E24" s="334">
        <f t="shared" si="1"/>
        <v>12</v>
      </c>
      <c r="F24" s="338"/>
    </row>
    <row r="25" spans="1:6" s="136" customFormat="1">
      <c r="A25" s="334">
        <f t="shared" si="0"/>
        <v>13</v>
      </c>
      <c r="B25" s="1029" t="str">
        <f>"Dec-"&amp;RIGHT(Automation!$B$3,2)</f>
        <v>Dec-24</v>
      </c>
      <c r="C25" s="1042">
        <v>83328.320999999996</v>
      </c>
      <c r="D25" s="1031" t="s">
        <v>215</v>
      </c>
      <c r="E25" s="334">
        <f t="shared" si="1"/>
        <v>13</v>
      </c>
      <c r="F25" s="338"/>
    </row>
    <row r="26" spans="1:6" s="136" customFormat="1">
      <c r="A26" s="334">
        <f t="shared" si="0"/>
        <v>14</v>
      </c>
      <c r="B26" s="1032"/>
      <c r="C26" s="1043"/>
      <c r="D26" s="1034"/>
      <c r="E26" s="334">
        <f t="shared" si="1"/>
        <v>14</v>
      </c>
      <c r="F26" s="338"/>
    </row>
    <row r="27" spans="1:6" s="136" customFormat="1">
      <c r="A27" s="334">
        <f t="shared" si="0"/>
        <v>15</v>
      </c>
      <c r="B27" s="130" t="s">
        <v>225</v>
      </c>
      <c r="C27" s="234">
        <f>SUM(C13:C25)</f>
        <v>1216566.8529999999</v>
      </c>
      <c r="D27" s="336" t="str">
        <f>"Sum Lines "&amp;A13&amp;" thru "&amp;A25</f>
        <v>Sum Lines 1 thru 13</v>
      </c>
      <c r="E27" s="334">
        <f t="shared" si="1"/>
        <v>15</v>
      </c>
    </row>
    <row r="28" spans="1:6" s="136" customFormat="1">
      <c r="A28" s="334">
        <f t="shared" si="0"/>
        <v>16</v>
      </c>
      <c r="B28" s="1013"/>
      <c r="C28" s="1035"/>
      <c r="D28" s="1031"/>
      <c r="E28" s="334">
        <f t="shared" si="1"/>
        <v>16</v>
      </c>
    </row>
    <row r="29" spans="1:6" s="136" customFormat="1">
      <c r="A29" s="334">
        <f t="shared" si="0"/>
        <v>17</v>
      </c>
      <c r="B29" s="857"/>
      <c r="C29" s="1036"/>
      <c r="D29" s="1037"/>
      <c r="E29" s="334">
        <f t="shared" si="1"/>
        <v>17</v>
      </c>
    </row>
    <row r="30" spans="1:6" s="136" customFormat="1">
      <c r="A30" s="334">
        <f t="shared" si="0"/>
        <v>18</v>
      </c>
      <c r="B30" s="130" t="s">
        <v>373</v>
      </c>
      <c r="C30" s="202">
        <f>C27/13</f>
        <v>93582.065615384607</v>
      </c>
      <c r="D30" s="1242" t="s">
        <v>1008</v>
      </c>
      <c r="E30" s="334">
        <f t="shared" si="1"/>
        <v>18</v>
      </c>
      <c r="F30" s="338"/>
    </row>
    <row r="31" spans="1:6" s="136" customFormat="1">
      <c r="A31" s="334">
        <f>A30+1</f>
        <v>19</v>
      </c>
      <c r="B31" s="1013"/>
      <c r="C31" s="1038"/>
      <c r="D31" s="1044"/>
      <c r="E31" s="334">
        <f>E30+1</f>
        <v>19</v>
      </c>
    </row>
    <row r="32" spans="1:6" s="136" customFormat="1">
      <c r="A32" s="119"/>
      <c r="C32" s="189"/>
      <c r="D32" s="189"/>
      <c r="E32" s="340"/>
    </row>
    <row r="33" spans="1:5" s="136" customFormat="1">
      <c r="A33" s="341"/>
      <c r="E33" s="340"/>
    </row>
    <row r="34" spans="1:5" s="136" customFormat="1">
      <c r="A34"/>
      <c r="B34"/>
      <c r="C34" s="189"/>
      <c r="D34" s="189"/>
      <c r="E34" s="340"/>
    </row>
    <row r="35" spans="1:5" s="136" customFormat="1">
      <c r="A35"/>
      <c r="B35"/>
      <c r="C35" s="189"/>
      <c r="D35" s="189"/>
      <c r="E35" s="340"/>
    </row>
    <row r="36" spans="1:5" s="136" customFormat="1">
      <c r="A36"/>
      <c r="B36"/>
      <c r="C36" s="189"/>
      <c r="D36" s="189"/>
      <c r="E36" s="340"/>
    </row>
    <row r="37" spans="1:5" s="136" customFormat="1">
      <c r="A37" s="119"/>
      <c r="C37" s="189"/>
      <c r="D37" s="189"/>
      <c r="E37" s="340"/>
    </row>
    <row r="38" spans="1:5" s="136" customFormat="1">
      <c r="A38" s="119"/>
      <c r="C38" s="189"/>
      <c r="D38" s="189"/>
      <c r="E38" s="340"/>
    </row>
    <row r="39" spans="1:5" s="136" customFormat="1">
      <c r="A39" s="119"/>
      <c r="C39" s="189"/>
      <c r="D39" s="189"/>
      <c r="E39" s="340"/>
    </row>
    <row r="40" spans="1:5" s="136" customFormat="1">
      <c r="A40" s="119"/>
      <c r="C40" s="189"/>
      <c r="D40" s="189"/>
      <c r="E40" s="340"/>
    </row>
    <row r="41" spans="1:5" s="136" customFormat="1">
      <c r="A41" s="119"/>
      <c r="C41" s="189"/>
      <c r="D41" s="189"/>
      <c r="E41" s="340"/>
    </row>
    <row r="42" spans="1:5" s="136" customFormat="1">
      <c r="A42" s="119"/>
      <c r="C42" s="189"/>
      <c r="D42" s="189"/>
      <c r="E42" s="340"/>
    </row>
    <row r="43" spans="1:5" s="136" customFormat="1">
      <c r="A43" s="119"/>
      <c r="C43" s="189"/>
      <c r="D43" s="189"/>
      <c r="E43" s="340"/>
    </row>
    <row r="44" spans="1:5" s="136" customFormat="1">
      <c r="A44" s="119"/>
      <c r="C44" s="189"/>
      <c r="D44" s="189"/>
      <c r="E44" s="340"/>
    </row>
    <row r="45" spans="1:5" s="136" customFormat="1">
      <c r="A45" s="119"/>
      <c r="C45" s="189"/>
      <c r="D45" s="189"/>
      <c r="E45" s="340"/>
    </row>
    <row r="46" spans="1:5" s="136" customFormat="1">
      <c r="A46" s="119"/>
      <c r="C46" s="189"/>
      <c r="D46" s="189"/>
      <c r="E46" s="340"/>
    </row>
    <row r="47" spans="1:5" s="136" customFormat="1">
      <c r="A47" s="119"/>
      <c r="C47" s="189"/>
      <c r="D47" s="189"/>
      <c r="E47" s="340"/>
    </row>
    <row r="48" spans="1:5" s="136" customFormat="1">
      <c r="A48" s="119"/>
      <c r="C48" s="189"/>
      <c r="D48" s="189"/>
      <c r="E48" s="340"/>
    </row>
    <row r="49" spans="1:5" s="136" customFormat="1">
      <c r="A49" s="119"/>
      <c r="C49" s="189"/>
      <c r="D49" s="189"/>
      <c r="E49" s="340"/>
    </row>
    <row r="50" spans="1:5" s="136" customFormat="1">
      <c r="A50" s="119"/>
      <c r="C50" s="189"/>
      <c r="D50" s="189"/>
      <c r="E50" s="340"/>
    </row>
    <row r="51" spans="1:5" s="136" customFormat="1">
      <c r="A51" s="119"/>
      <c r="C51" s="189"/>
      <c r="D51" s="189"/>
      <c r="E51" s="340"/>
    </row>
    <row r="52" spans="1:5" s="136" customFormat="1">
      <c r="A52" s="119"/>
      <c r="C52" s="189"/>
      <c r="D52" s="189"/>
      <c r="E52" s="340"/>
    </row>
    <row r="53" spans="1:5" s="136" customFormat="1">
      <c r="A53" s="119"/>
      <c r="C53" s="189"/>
      <c r="D53" s="189"/>
      <c r="E53" s="340"/>
    </row>
    <row r="54" spans="1:5" s="136" customFormat="1">
      <c r="A54" s="119"/>
      <c r="C54" s="189"/>
      <c r="D54" s="189"/>
      <c r="E54" s="340"/>
    </row>
    <row r="55" spans="1:5" s="136" customFormat="1">
      <c r="A55" s="119"/>
      <c r="C55" s="189"/>
      <c r="D55" s="189"/>
      <c r="E55" s="340"/>
    </row>
    <row r="56" spans="1:5" s="136" customFormat="1">
      <c r="A56" s="119"/>
      <c r="C56" s="189"/>
      <c r="D56" s="189"/>
      <c r="E56" s="340"/>
    </row>
    <row r="57" spans="1:5" s="136" customFormat="1">
      <c r="A57" s="119"/>
      <c r="C57" s="189"/>
      <c r="D57" s="189"/>
      <c r="E57" s="340"/>
    </row>
    <row r="58" spans="1:5" s="136" customFormat="1">
      <c r="A58" s="119"/>
      <c r="C58" s="189"/>
      <c r="D58" s="189"/>
      <c r="E58" s="340"/>
    </row>
    <row r="59" spans="1:5" s="136" customFormat="1">
      <c r="A59" s="119"/>
      <c r="C59" s="189"/>
      <c r="D59" s="189"/>
      <c r="E59" s="340"/>
    </row>
    <row r="60" spans="1:5" s="136" customFormat="1">
      <c r="A60" s="119"/>
      <c r="C60" s="189"/>
      <c r="D60" s="189"/>
      <c r="E60" s="340"/>
    </row>
    <row r="61" spans="1:5" s="136" customFormat="1">
      <c r="A61" s="119"/>
      <c r="C61" s="189"/>
      <c r="D61" s="189"/>
      <c r="E61" s="340"/>
    </row>
    <row r="62" spans="1:5" s="136" customFormat="1">
      <c r="A62" s="119"/>
      <c r="C62" s="189"/>
      <c r="D62" s="189"/>
      <c r="E62" s="340"/>
    </row>
    <row r="63" spans="1:5" s="136" customFormat="1">
      <c r="A63" s="119"/>
      <c r="C63" s="189"/>
      <c r="D63" s="189"/>
      <c r="E63" s="340"/>
    </row>
    <row r="64" spans="1:5" s="136" customFormat="1">
      <c r="A64" s="119"/>
      <c r="C64" s="189"/>
      <c r="D64" s="189"/>
      <c r="E64" s="340"/>
    </row>
    <row r="65" spans="1:5" s="136" customFormat="1">
      <c r="A65" s="119"/>
      <c r="C65" s="189"/>
      <c r="D65" s="189"/>
      <c r="E65" s="340"/>
    </row>
    <row r="66" spans="1:5" s="136" customFormat="1">
      <c r="A66" s="119"/>
      <c r="C66" s="189"/>
      <c r="D66" s="189"/>
      <c r="E66" s="340"/>
    </row>
    <row r="67" spans="1:5" s="136" customFormat="1">
      <c r="A67" s="119"/>
      <c r="C67" s="189"/>
      <c r="D67" s="189"/>
      <c r="E67" s="340"/>
    </row>
    <row r="68" spans="1:5" s="136" customFormat="1">
      <c r="A68" s="119"/>
      <c r="C68" s="189"/>
      <c r="D68" s="189"/>
      <c r="E68" s="340"/>
    </row>
    <row r="69" spans="1:5" s="136" customFormat="1">
      <c r="A69" s="119"/>
      <c r="C69" s="189"/>
      <c r="D69" s="189"/>
      <c r="E69" s="340"/>
    </row>
    <row r="70" spans="1:5" s="136" customFormat="1">
      <c r="A70" s="119"/>
      <c r="C70" s="189"/>
      <c r="D70" s="189"/>
      <c r="E70" s="340"/>
    </row>
    <row r="71" spans="1:5" s="136" customFormat="1">
      <c r="A71" s="119"/>
      <c r="C71" s="189"/>
      <c r="D71" s="189"/>
      <c r="E71" s="340"/>
    </row>
    <row r="72" spans="1:5" s="136" customFormat="1">
      <c r="A72" s="119"/>
      <c r="C72" s="189"/>
      <c r="D72" s="189"/>
      <c r="E72" s="340"/>
    </row>
    <row r="73" spans="1:5" s="136" customFormat="1">
      <c r="A73" s="119"/>
      <c r="C73" s="189"/>
      <c r="D73" s="189"/>
      <c r="E73" s="340"/>
    </row>
    <row r="74" spans="1:5" s="136" customFormat="1">
      <c r="A74" s="119"/>
      <c r="C74" s="189"/>
      <c r="D74" s="189"/>
      <c r="E74" s="340"/>
    </row>
    <row r="75" spans="1:5" s="136" customFormat="1">
      <c r="A75" s="119"/>
      <c r="C75" s="189"/>
      <c r="D75" s="189"/>
      <c r="E75" s="340"/>
    </row>
    <row r="76" spans="1:5" s="136" customFormat="1">
      <c r="A76" s="119"/>
      <c r="C76" s="189"/>
      <c r="D76" s="189"/>
      <c r="E76" s="340"/>
    </row>
    <row r="77" spans="1:5" s="136" customFormat="1">
      <c r="A77" s="119"/>
      <c r="C77" s="189"/>
      <c r="D77" s="189"/>
      <c r="E77" s="340"/>
    </row>
    <row r="78" spans="1:5" s="136" customFormat="1">
      <c r="A78" s="119"/>
      <c r="C78" s="189"/>
      <c r="D78" s="189"/>
      <c r="E78" s="340"/>
    </row>
    <row r="79" spans="1:5" s="136" customFormat="1">
      <c r="A79" s="119"/>
      <c r="C79" s="189"/>
      <c r="D79" s="189"/>
      <c r="E79" s="340"/>
    </row>
    <row r="80" spans="1:5" s="136" customFormat="1">
      <c r="A80" s="119"/>
      <c r="C80" s="189"/>
      <c r="D80" s="189"/>
      <c r="E80" s="340"/>
    </row>
    <row r="81" spans="1:5" s="136" customFormat="1">
      <c r="A81" s="119"/>
      <c r="C81" s="189"/>
      <c r="D81" s="189"/>
      <c r="E81" s="340"/>
    </row>
    <row r="82" spans="1:5" s="136" customFormat="1">
      <c r="A82" s="119"/>
      <c r="C82" s="189"/>
      <c r="D82" s="189"/>
      <c r="E82" s="340"/>
    </row>
    <row r="83" spans="1:5" s="136" customFormat="1">
      <c r="A83" s="119"/>
      <c r="C83" s="189"/>
      <c r="D83" s="189"/>
      <c r="E83" s="340"/>
    </row>
    <row r="84" spans="1:5" s="136" customFormat="1">
      <c r="A84" s="119"/>
      <c r="C84" s="189"/>
      <c r="D84" s="189"/>
      <c r="E84" s="340"/>
    </row>
    <row r="85" spans="1:5" s="136" customFormat="1">
      <c r="A85" s="119"/>
      <c r="C85" s="189"/>
      <c r="D85" s="189"/>
      <c r="E85" s="340"/>
    </row>
    <row r="86" spans="1:5" s="136" customFormat="1">
      <c r="A86" s="119"/>
      <c r="C86" s="189"/>
      <c r="D86" s="189"/>
      <c r="E86" s="340"/>
    </row>
    <row r="87" spans="1:5" s="136" customFormat="1">
      <c r="A87" s="119"/>
      <c r="C87" s="189"/>
      <c r="D87" s="189"/>
      <c r="E87" s="340"/>
    </row>
    <row r="88" spans="1:5" s="136" customFormat="1">
      <c r="A88" s="119"/>
      <c r="C88" s="189"/>
      <c r="D88" s="189"/>
      <c r="E88" s="340"/>
    </row>
    <row r="89" spans="1:5" s="136" customFormat="1">
      <c r="A89" s="119"/>
      <c r="C89" s="189"/>
      <c r="D89" s="189"/>
      <c r="E89" s="340"/>
    </row>
    <row r="90" spans="1:5" s="136" customFormat="1">
      <c r="A90" s="119"/>
      <c r="C90" s="189"/>
      <c r="D90" s="189"/>
      <c r="E90" s="340"/>
    </row>
    <row r="91" spans="1:5" s="136" customFormat="1">
      <c r="A91" s="119"/>
      <c r="C91" s="189"/>
      <c r="D91" s="189"/>
      <c r="E91" s="340"/>
    </row>
    <row r="92" spans="1:5" s="136" customFormat="1">
      <c r="A92" s="119"/>
      <c r="C92" s="189"/>
      <c r="D92" s="189"/>
      <c r="E92" s="340"/>
    </row>
    <row r="93" spans="1:5" s="136" customFormat="1">
      <c r="A93" s="119"/>
      <c r="C93" s="189"/>
      <c r="D93" s="189"/>
      <c r="E93" s="340"/>
    </row>
    <row r="94" spans="1:5" s="136" customFormat="1">
      <c r="A94" s="119"/>
      <c r="C94" s="189"/>
      <c r="D94" s="189"/>
      <c r="E94" s="340"/>
    </row>
    <row r="95" spans="1:5" s="136" customFormat="1">
      <c r="A95" s="119"/>
      <c r="C95" s="189"/>
      <c r="D95" s="189"/>
      <c r="E95" s="340"/>
    </row>
    <row r="96" spans="1:5" s="136" customFormat="1">
      <c r="A96" s="119"/>
      <c r="C96" s="189"/>
      <c r="D96" s="189"/>
      <c r="E96" s="340"/>
    </row>
    <row r="97" spans="1:5" s="136" customFormat="1">
      <c r="A97" s="119"/>
      <c r="C97" s="189"/>
      <c r="D97" s="189"/>
      <c r="E97" s="340"/>
    </row>
    <row r="98" spans="1:5" s="136" customFormat="1">
      <c r="A98" s="119"/>
      <c r="C98" s="189"/>
      <c r="D98" s="189"/>
      <c r="E98" s="340"/>
    </row>
    <row r="99" spans="1:5" s="136" customFormat="1">
      <c r="A99" s="119"/>
      <c r="C99" s="189"/>
      <c r="D99" s="189"/>
      <c r="E99" s="340"/>
    </row>
    <row r="100" spans="1:5" s="136" customFormat="1">
      <c r="A100" s="119"/>
      <c r="C100" s="189"/>
      <c r="D100" s="189"/>
      <c r="E100" s="340"/>
    </row>
    <row r="101" spans="1:5" s="136" customFormat="1">
      <c r="A101" s="119"/>
      <c r="C101" s="189"/>
      <c r="D101" s="189"/>
      <c r="E101" s="340"/>
    </row>
    <row r="102" spans="1:5" s="136" customFormat="1">
      <c r="A102" s="119"/>
      <c r="C102" s="189"/>
      <c r="D102" s="189"/>
      <c r="E102" s="340"/>
    </row>
    <row r="103" spans="1:5" s="136" customFormat="1">
      <c r="A103" s="119"/>
      <c r="C103" s="189"/>
      <c r="D103" s="189"/>
      <c r="E103" s="340"/>
    </row>
    <row r="104" spans="1:5" s="136" customFormat="1">
      <c r="A104" s="119"/>
      <c r="C104" s="189"/>
      <c r="D104" s="189"/>
      <c r="E104" s="340"/>
    </row>
    <row r="105" spans="1:5" s="136" customFormat="1">
      <c r="A105" s="119"/>
      <c r="C105" s="189"/>
      <c r="D105" s="189"/>
      <c r="E105" s="340"/>
    </row>
    <row r="106" spans="1:5" s="136" customFormat="1">
      <c r="A106" s="119"/>
      <c r="C106" s="189"/>
      <c r="D106" s="189"/>
      <c r="E106" s="340"/>
    </row>
    <row r="107" spans="1:5" s="136" customFormat="1">
      <c r="A107" s="119"/>
      <c r="C107" s="189"/>
      <c r="D107" s="189"/>
      <c r="E107" s="340"/>
    </row>
    <row r="108" spans="1:5" s="136" customFormat="1">
      <c r="A108" s="119"/>
      <c r="C108" s="189"/>
      <c r="D108" s="189"/>
      <c r="E108" s="340"/>
    </row>
    <row r="109" spans="1:5" s="136" customFormat="1">
      <c r="A109" s="119"/>
      <c r="C109" s="189"/>
      <c r="D109" s="189"/>
      <c r="E109" s="340"/>
    </row>
    <row r="110" spans="1:5" s="136" customFormat="1">
      <c r="A110" s="119"/>
      <c r="C110" s="189"/>
      <c r="D110" s="189"/>
      <c r="E110" s="340"/>
    </row>
    <row r="111" spans="1:5" s="136" customFormat="1">
      <c r="A111" s="119"/>
      <c r="C111" s="189"/>
      <c r="D111" s="189"/>
      <c r="E111" s="340"/>
    </row>
    <row r="112" spans="1:5" s="136" customFormat="1">
      <c r="A112" s="119"/>
      <c r="C112" s="189"/>
      <c r="D112" s="189"/>
      <c r="E112" s="340"/>
    </row>
    <row r="113" spans="1:5" s="136" customFormat="1">
      <c r="A113" s="119"/>
      <c r="C113" s="189"/>
      <c r="D113" s="189"/>
      <c r="E113" s="340"/>
    </row>
    <row r="114" spans="1:5" s="136" customFormat="1">
      <c r="A114" s="119"/>
      <c r="C114" s="189"/>
      <c r="D114" s="189"/>
      <c r="E114" s="340"/>
    </row>
    <row r="115" spans="1:5" s="136" customFormat="1">
      <c r="A115" s="119"/>
      <c r="C115" s="189"/>
      <c r="D115" s="189"/>
      <c r="E115" s="340"/>
    </row>
    <row r="116" spans="1:5" s="136" customFormat="1">
      <c r="A116" s="119"/>
      <c r="C116" s="189"/>
      <c r="D116" s="189"/>
      <c r="E116" s="340"/>
    </row>
    <row r="117" spans="1:5" s="136" customFormat="1">
      <c r="A117" s="119"/>
      <c r="C117" s="189"/>
      <c r="D117" s="189"/>
      <c r="E117" s="340"/>
    </row>
    <row r="118" spans="1:5" s="136" customFormat="1">
      <c r="A118" s="119"/>
      <c r="C118" s="189"/>
      <c r="D118" s="189"/>
      <c r="E118" s="340"/>
    </row>
    <row r="119" spans="1:5" s="136" customFormat="1">
      <c r="A119" s="119"/>
      <c r="C119" s="189"/>
      <c r="D119" s="189"/>
      <c r="E119" s="340"/>
    </row>
    <row r="120" spans="1:5" s="136" customFormat="1">
      <c r="A120" s="119"/>
      <c r="C120" s="189"/>
      <c r="D120" s="189"/>
      <c r="E120" s="340"/>
    </row>
    <row r="121" spans="1:5" s="136" customFormat="1">
      <c r="A121" s="119"/>
      <c r="C121" s="189"/>
      <c r="D121" s="189"/>
      <c r="E121" s="340"/>
    </row>
    <row r="122" spans="1:5" s="136" customFormat="1">
      <c r="A122" s="119"/>
      <c r="C122" s="189"/>
      <c r="D122" s="189"/>
      <c r="E122" s="340"/>
    </row>
    <row r="123" spans="1:5" s="136" customFormat="1">
      <c r="A123" s="119"/>
      <c r="C123" s="189"/>
      <c r="D123" s="189"/>
      <c r="E123" s="340"/>
    </row>
    <row r="124" spans="1:5" s="136" customFormat="1">
      <c r="A124" s="119"/>
      <c r="C124" s="189"/>
      <c r="D124" s="189"/>
      <c r="E124" s="340"/>
    </row>
    <row r="125" spans="1:5" s="136" customFormat="1">
      <c r="A125" s="119"/>
      <c r="C125" s="189"/>
      <c r="D125" s="189"/>
      <c r="E125" s="340"/>
    </row>
    <row r="126" spans="1:5" s="136" customFormat="1">
      <c r="A126" s="119"/>
      <c r="C126" s="189"/>
      <c r="D126" s="189"/>
      <c r="E126" s="340"/>
    </row>
    <row r="127" spans="1:5" s="136" customFormat="1">
      <c r="A127" s="119"/>
      <c r="C127" s="189"/>
      <c r="D127" s="189"/>
      <c r="E127" s="340"/>
    </row>
    <row r="128" spans="1:5" s="136" customFormat="1">
      <c r="A128" s="119"/>
      <c r="C128" s="189"/>
      <c r="D128" s="189"/>
      <c r="E128" s="340"/>
    </row>
    <row r="129" spans="1:5" s="136" customFormat="1">
      <c r="A129" s="119"/>
      <c r="C129" s="189"/>
      <c r="D129" s="189"/>
      <c r="E129" s="340"/>
    </row>
    <row r="130" spans="1:5" s="136" customFormat="1">
      <c r="A130" s="119"/>
      <c r="C130" s="189"/>
      <c r="D130" s="189"/>
      <c r="E130" s="340"/>
    </row>
    <row r="131" spans="1:5" s="136" customFormat="1">
      <c r="A131" s="119"/>
      <c r="C131" s="189"/>
      <c r="D131" s="189"/>
      <c r="E131" s="340"/>
    </row>
    <row r="132" spans="1:5" s="136" customFormat="1">
      <c r="A132" s="119"/>
      <c r="C132" s="189"/>
      <c r="D132" s="189"/>
      <c r="E132" s="340"/>
    </row>
    <row r="133" spans="1:5" s="136" customFormat="1">
      <c r="A133" s="119"/>
      <c r="C133" s="189"/>
      <c r="D133" s="189"/>
      <c r="E133" s="340"/>
    </row>
    <row r="134" spans="1:5" s="136" customFormat="1">
      <c r="A134" s="119"/>
      <c r="C134" s="189"/>
      <c r="D134" s="189"/>
      <c r="E134" s="340"/>
    </row>
    <row r="135" spans="1:5" s="136" customFormat="1">
      <c r="A135" s="119"/>
      <c r="C135" s="189"/>
      <c r="D135" s="189"/>
      <c r="E135" s="340"/>
    </row>
    <row r="136" spans="1:5" s="136" customFormat="1">
      <c r="A136" s="119"/>
      <c r="C136" s="189"/>
      <c r="D136" s="189"/>
      <c r="E136" s="340"/>
    </row>
    <row r="137" spans="1:5" s="136" customFormat="1">
      <c r="A137" s="119"/>
      <c r="C137" s="189"/>
      <c r="D137" s="189"/>
      <c r="E137" s="340"/>
    </row>
    <row r="138" spans="1:5" s="136" customFormat="1">
      <c r="A138" s="119"/>
      <c r="C138" s="189"/>
      <c r="D138" s="189"/>
      <c r="E138" s="340"/>
    </row>
    <row r="139" spans="1:5" s="136" customFormat="1">
      <c r="A139" s="119"/>
      <c r="C139" s="189"/>
      <c r="D139" s="189"/>
      <c r="E139" s="340"/>
    </row>
    <row r="140" spans="1:5" s="136" customFormat="1">
      <c r="A140" s="119"/>
      <c r="C140" s="189"/>
      <c r="D140" s="189"/>
      <c r="E140" s="340"/>
    </row>
    <row r="141" spans="1:5" s="136" customFormat="1">
      <c r="A141" s="119"/>
      <c r="C141" s="189"/>
      <c r="D141" s="189"/>
      <c r="E141" s="340"/>
    </row>
    <row r="142" spans="1:5" s="136" customFormat="1">
      <c r="A142" s="119"/>
      <c r="C142" s="189"/>
      <c r="D142" s="189"/>
      <c r="E142" s="340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H24"/>
  <sheetViews>
    <sheetView zoomScale="80" zoomScaleNormal="80" zoomScalePageLayoutView="80" workbookViewId="0">
      <selection activeCell="G38" sqref="G38"/>
    </sheetView>
  </sheetViews>
  <sheetFormatPr defaultColWidth="8.5703125" defaultRowHeight="15.75"/>
  <cols>
    <col min="1" max="1" width="5.140625" style="119" bestFit="1" customWidth="1"/>
    <col min="2" max="2" width="68.5703125" style="136" customWidth="1"/>
    <col min="3" max="3" width="25.5703125" style="136" bestFit="1" customWidth="1"/>
    <col min="4" max="4" width="1.5703125" style="136" customWidth="1"/>
    <col min="5" max="5" width="16.5703125" style="136" customWidth="1"/>
    <col min="6" max="6" width="1.5703125" style="136" customWidth="1"/>
    <col min="7" max="7" width="34.5703125" style="136" customWidth="1"/>
    <col min="8" max="8" width="5.140625" style="136" customWidth="1"/>
    <col min="9" max="9" width="8.5703125" style="136"/>
    <col min="10" max="10" width="20.42578125" style="136" bestFit="1" customWidth="1"/>
    <col min="11" max="16384" width="8.5703125" style="136"/>
  </cols>
  <sheetData>
    <row r="1" spans="1:8">
      <c r="E1" s="342"/>
      <c r="F1" s="342"/>
      <c r="G1" s="119"/>
      <c r="H1" s="119"/>
    </row>
    <row r="2" spans="1:8">
      <c r="B2" s="1287" t="s">
        <v>0</v>
      </c>
      <c r="C2" s="1287"/>
      <c r="D2" s="1287"/>
      <c r="E2" s="1287"/>
      <c r="F2" s="1287"/>
      <c r="G2" s="1287"/>
      <c r="H2" s="119"/>
    </row>
    <row r="3" spans="1:8">
      <c r="B3" s="1287" t="s">
        <v>722</v>
      </c>
      <c r="C3" s="1287"/>
      <c r="D3" s="1287"/>
      <c r="E3" s="1287"/>
      <c r="F3" s="1287"/>
      <c r="G3" s="1287"/>
      <c r="H3" s="119"/>
    </row>
    <row r="4" spans="1:8">
      <c r="B4" s="1287" t="s">
        <v>723</v>
      </c>
      <c r="C4" s="1287"/>
      <c r="D4" s="1287"/>
      <c r="E4" s="1287"/>
      <c r="F4" s="1287"/>
      <c r="G4" s="1287"/>
      <c r="H4" s="119"/>
    </row>
    <row r="5" spans="1:8">
      <c r="B5" s="1289" t="str">
        <f>'A. Sec.1 - Direct Maintenance'!B5</f>
        <v>Base Period &amp; True-Up Period 12 - Months Ending December 31, 2024</v>
      </c>
      <c r="C5" s="1289"/>
      <c r="D5" s="1289"/>
      <c r="E5" s="1289"/>
      <c r="F5" s="1289"/>
      <c r="G5" s="1289"/>
      <c r="H5" s="119"/>
    </row>
    <row r="6" spans="1:8">
      <c r="B6" s="1291" t="s">
        <v>3</v>
      </c>
      <c r="C6" s="1288"/>
      <c r="D6" s="1288"/>
      <c r="E6" s="1288"/>
      <c r="F6" s="1288"/>
      <c r="G6" s="1288"/>
      <c r="H6" s="119"/>
    </row>
    <row r="7" spans="1:8">
      <c r="B7" s="119"/>
      <c r="C7" s="119"/>
      <c r="D7" s="119"/>
      <c r="E7" s="119"/>
      <c r="F7" s="119"/>
      <c r="G7" s="119"/>
      <c r="H7" s="119"/>
    </row>
    <row r="8" spans="1:8">
      <c r="A8" s="119" t="s">
        <v>4</v>
      </c>
      <c r="C8" s="247" t="s">
        <v>188</v>
      </c>
      <c r="E8" s="119"/>
      <c r="F8" s="119"/>
      <c r="G8" s="119"/>
      <c r="H8" s="119" t="s">
        <v>4</v>
      </c>
    </row>
    <row r="9" spans="1:8">
      <c r="A9" s="119" t="s">
        <v>5</v>
      </c>
      <c r="B9" s="136" t="s">
        <v>185</v>
      </c>
      <c r="C9" s="994" t="s">
        <v>190</v>
      </c>
      <c r="E9" s="1009" t="s">
        <v>7</v>
      </c>
      <c r="F9" s="343"/>
      <c r="G9" s="1009" t="s">
        <v>8</v>
      </c>
      <c r="H9" s="119" t="s">
        <v>5</v>
      </c>
    </row>
    <row r="10" spans="1:8">
      <c r="E10" s="342"/>
      <c r="F10" s="342"/>
      <c r="G10" s="119"/>
      <c r="H10" s="119"/>
    </row>
    <row r="11" spans="1:8">
      <c r="A11" s="119">
        <f>+A10+1</f>
        <v>1</v>
      </c>
      <c r="B11" s="136" t="s">
        <v>724</v>
      </c>
      <c r="C11" s="247" t="s">
        <v>982</v>
      </c>
      <c r="E11" s="344">
        <v>-264.76299999999998</v>
      </c>
      <c r="F11" s="343"/>
      <c r="G11" s="343"/>
      <c r="H11" s="119">
        <f>A11</f>
        <v>1</v>
      </c>
    </row>
    <row r="12" spans="1:8">
      <c r="A12" s="119">
        <f>+A11+1</f>
        <v>2</v>
      </c>
      <c r="C12" s="70"/>
      <c r="E12" s="342"/>
      <c r="F12" s="342"/>
      <c r="G12" s="343"/>
      <c r="H12" s="119">
        <f>+H11+1</f>
        <v>2</v>
      </c>
    </row>
    <row r="13" spans="1:8">
      <c r="A13" s="119">
        <f t="shared" ref="A13:A20" si="0">+A12+1</f>
        <v>3</v>
      </c>
      <c r="B13" s="136" t="s">
        <v>725</v>
      </c>
      <c r="C13" s="70"/>
      <c r="E13" s="342"/>
      <c r="F13" s="342"/>
      <c r="G13" s="343"/>
      <c r="H13" s="119">
        <f t="shared" ref="H13:H20" si="1">+H12+1</f>
        <v>3</v>
      </c>
    </row>
    <row r="14" spans="1:8">
      <c r="A14" s="119">
        <f t="shared" si="0"/>
        <v>4</v>
      </c>
      <c r="B14" s="18" t="s">
        <v>726</v>
      </c>
      <c r="C14" s="247"/>
      <c r="E14" s="397">
        <f>'AR-1'!G18</f>
        <v>0</v>
      </c>
      <c r="F14" s="342"/>
      <c r="G14" s="119" t="str">
        <f>"AR-1; Line "&amp;'AR-1'!A18&amp;"; Col. c"</f>
        <v>AR-1; Line 7; Col. c</v>
      </c>
      <c r="H14" s="119">
        <f t="shared" si="1"/>
        <v>4</v>
      </c>
    </row>
    <row r="15" spans="1:8">
      <c r="A15" s="119">
        <f t="shared" si="0"/>
        <v>5</v>
      </c>
      <c r="B15" s="18" t="s">
        <v>727</v>
      </c>
      <c r="C15" s="247"/>
      <c r="E15" s="397">
        <f>'AR-1'!G25</f>
        <v>0</v>
      </c>
      <c r="F15" s="342"/>
      <c r="G15" s="119" t="str">
        <f>"AR-1; Line "&amp;'AR-1'!A25&amp;"; Col. c"</f>
        <v>AR-1; Line 14; Col. c</v>
      </c>
      <c r="H15" s="119">
        <f t="shared" si="1"/>
        <v>5</v>
      </c>
    </row>
    <row r="16" spans="1:8">
      <c r="A16" s="119">
        <f t="shared" si="0"/>
        <v>6</v>
      </c>
      <c r="B16" s="18" t="s">
        <v>728</v>
      </c>
      <c r="C16" s="247"/>
      <c r="E16" s="1019">
        <f>'AR-1'!G33</f>
        <v>0</v>
      </c>
      <c r="F16" s="342"/>
      <c r="G16" s="119" t="str">
        <f>"AR-1; Line "&amp;'AR-1'!A33&amp;"; Col. c"</f>
        <v>AR-1; Line 22; Col. c</v>
      </c>
      <c r="H16" s="119">
        <f t="shared" si="1"/>
        <v>6</v>
      </c>
    </row>
    <row r="17" spans="1:8">
      <c r="A17" s="119">
        <f t="shared" si="0"/>
        <v>7</v>
      </c>
      <c r="B17" s="18" t="s">
        <v>729</v>
      </c>
      <c r="C17" s="247"/>
      <c r="E17" s="588">
        <f>SUM(E14:E16)</f>
        <v>0</v>
      </c>
      <c r="F17" s="343"/>
      <c r="G17" s="119" t="str">
        <f>"Sum Lines "&amp;A14&amp;" thru "&amp;A16</f>
        <v>Sum Lines 4 thru 6</v>
      </c>
      <c r="H17" s="119">
        <f t="shared" si="1"/>
        <v>7</v>
      </c>
    </row>
    <row r="18" spans="1:8">
      <c r="A18" s="119">
        <f t="shared" si="0"/>
        <v>8</v>
      </c>
      <c r="B18" s="18"/>
      <c r="C18" s="247"/>
      <c r="E18" s="342"/>
      <c r="F18" s="343"/>
      <c r="G18" s="343"/>
      <c r="H18" s="119">
        <f t="shared" si="1"/>
        <v>8</v>
      </c>
    </row>
    <row r="19" spans="1:8">
      <c r="A19" s="119">
        <f t="shared" si="0"/>
        <v>9</v>
      </c>
      <c r="B19" s="136" t="s">
        <v>730</v>
      </c>
      <c r="C19" s="247"/>
      <c r="E19" s="1019">
        <v>0</v>
      </c>
      <c r="F19" s="343"/>
      <c r="G19" s="119" t="str">
        <f>"Not Applicable to "&amp;Automation!B3&amp;" Base Period"</f>
        <v>Not Applicable to 2024 Base Period</v>
      </c>
      <c r="H19" s="119">
        <f t="shared" si="1"/>
        <v>9</v>
      </c>
    </row>
    <row r="20" spans="1:8">
      <c r="A20" s="119">
        <f t="shared" si="0"/>
        <v>10</v>
      </c>
      <c r="C20" s="70"/>
      <c r="E20" s="343"/>
      <c r="F20" s="343"/>
      <c r="G20" s="343"/>
      <c r="H20" s="119">
        <f t="shared" si="1"/>
        <v>10</v>
      </c>
    </row>
    <row r="21" spans="1:8" ht="19.5" thickBot="1">
      <c r="A21" s="119">
        <f t="shared" ref="A21" si="2">+A20+1</f>
        <v>11</v>
      </c>
      <c r="B21" s="136" t="s">
        <v>731</v>
      </c>
      <c r="E21" s="348">
        <f>E11+E17+E19</f>
        <v>-264.76299999999998</v>
      </c>
      <c r="F21" s="349"/>
      <c r="G21" s="119" t="str">
        <f>"Sum Lines "&amp;A11&amp;", "&amp;A17&amp;", "&amp;A19</f>
        <v>Sum Lines 1, 7, 9</v>
      </c>
      <c r="H21" s="119">
        <f t="shared" ref="H21" si="3">+H20+1</f>
        <v>11</v>
      </c>
    </row>
    <row r="22" spans="1:8" ht="16.5" thickTop="1">
      <c r="H22" s="119"/>
    </row>
    <row r="23" spans="1:8">
      <c r="H23" s="119"/>
    </row>
    <row r="24" spans="1:8" ht="18.75">
      <c r="A24" s="135">
        <v>1</v>
      </c>
      <c r="B24" s="3" t="str">
        <f>"Information on Statement AR is used in Statement AV2, Line "&amp;'Stmt AV'!A86&amp;" to calculate the Cost of Capital Rate."</f>
        <v>Information on Statement AR is used in Statement AV2, Line 7 to calculate the Cost of Capital Rate.</v>
      </c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Roman,Regular"&amp;10AR</oddFooter>
  </headerFooter>
  <customProperties>
    <customPr name="_pios_id" r:id="rId2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D2A8-DB07-4474-BA2D-2E48862037CC}">
  <sheetPr>
    <pageSetUpPr fitToPage="1"/>
  </sheetPr>
  <dimension ref="A2:I36"/>
  <sheetViews>
    <sheetView zoomScale="80" zoomScaleNormal="80" zoomScaleSheetLayoutView="70" workbookViewId="0">
      <selection activeCell="H39" sqref="H39"/>
    </sheetView>
  </sheetViews>
  <sheetFormatPr defaultColWidth="8.5703125" defaultRowHeight="15.75"/>
  <cols>
    <col min="1" max="1" width="5.140625" style="247" customWidth="1"/>
    <col min="2" max="2" width="50.5703125" style="216" customWidth="1"/>
    <col min="3" max="3" width="16.5703125" style="216" customWidth="1"/>
    <col min="4" max="4" width="1.5703125" style="216" customWidth="1"/>
    <col min="5" max="5" width="16.5703125" style="216" customWidth="1"/>
    <col min="6" max="6" width="1.5703125" style="216" customWidth="1"/>
    <col min="7" max="7" width="23.42578125" style="216" bestFit="1" customWidth="1"/>
    <col min="8" max="8" width="58.42578125" style="216" customWidth="1"/>
    <col min="9" max="9" width="5.140625" style="247" customWidth="1"/>
    <col min="10" max="16384" width="8.5703125" style="216"/>
  </cols>
  <sheetData>
    <row r="2" spans="1:9">
      <c r="B2" s="1281" t="s">
        <v>0</v>
      </c>
      <c r="C2" s="1281"/>
      <c r="D2" s="1281"/>
      <c r="E2" s="1281"/>
      <c r="F2" s="1281"/>
      <c r="G2" s="1281"/>
      <c r="H2" s="1281"/>
    </row>
    <row r="3" spans="1:9">
      <c r="B3" s="1281" t="s">
        <v>732</v>
      </c>
      <c r="C3" s="1281"/>
      <c r="D3" s="1281"/>
      <c r="E3" s="1281"/>
      <c r="F3" s="1281"/>
      <c r="G3" s="1281"/>
      <c r="H3" s="1281"/>
    </row>
    <row r="4" spans="1:9" ht="18.75">
      <c r="B4" s="1281" t="s">
        <v>884</v>
      </c>
      <c r="C4" s="1281"/>
      <c r="D4" s="1281"/>
      <c r="E4" s="1281"/>
      <c r="F4" s="1281"/>
      <c r="G4" s="1281"/>
      <c r="H4" s="1281"/>
    </row>
    <row r="5" spans="1:9">
      <c r="B5" s="1281" t="str">
        <f>"Base Period 12 Months Ending December 31, "&amp;Automation!$B$3</f>
        <v>Base Period 12 Months Ending December 31, 2024</v>
      </c>
      <c r="C5" s="1281"/>
      <c r="D5" s="1281"/>
      <c r="E5" s="1281"/>
      <c r="F5" s="1281"/>
      <c r="G5" s="1281"/>
      <c r="H5" s="1281"/>
    </row>
    <row r="6" spans="1:9" ht="15.75" customHeight="1">
      <c r="B6" s="1279" t="s">
        <v>3</v>
      </c>
      <c r="C6" s="1279"/>
      <c r="D6" s="1279"/>
      <c r="E6" s="1279"/>
      <c r="F6" s="1279"/>
      <c r="G6" s="1279"/>
      <c r="H6" s="1279"/>
    </row>
    <row r="8" spans="1:9">
      <c r="B8" s="237"/>
      <c r="C8" s="690" t="s">
        <v>77</v>
      </c>
      <c r="D8" s="690"/>
      <c r="E8" s="690" t="s">
        <v>78</v>
      </c>
      <c r="F8" s="690"/>
      <c r="G8" s="690" t="s">
        <v>733</v>
      </c>
      <c r="H8" s="690"/>
    </row>
    <row r="9" spans="1:9">
      <c r="A9" s="247" t="s">
        <v>4</v>
      </c>
      <c r="B9" s="237"/>
      <c r="C9" s="690" t="s">
        <v>342</v>
      </c>
      <c r="D9" s="690"/>
      <c r="E9" s="690" t="s">
        <v>342</v>
      </c>
      <c r="F9" s="690"/>
      <c r="G9" s="690"/>
      <c r="H9" s="690"/>
      <c r="I9" s="247" t="s">
        <v>4</v>
      </c>
    </row>
    <row r="10" spans="1:9">
      <c r="A10" s="247" t="s">
        <v>5</v>
      </c>
      <c r="B10" s="986" t="s">
        <v>261</v>
      </c>
      <c r="C10" s="1045" t="s">
        <v>344</v>
      </c>
      <c r="D10" s="1045"/>
      <c r="E10" s="1045" t="s">
        <v>345</v>
      </c>
      <c r="F10" s="1045"/>
      <c r="G10" s="986" t="s">
        <v>80</v>
      </c>
      <c r="H10" s="986" t="s">
        <v>8</v>
      </c>
      <c r="I10" s="247" t="s">
        <v>5</v>
      </c>
    </row>
    <row r="11" spans="1:9">
      <c r="B11" s="237"/>
      <c r="C11" s="836"/>
      <c r="D11" s="836"/>
      <c r="E11" s="836"/>
      <c r="F11" s="836"/>
      <c r="G11" s="481"/>
      <c r="H11" s="481"/>
    </row>
    <row r="12" spans="1:9">
      <c r="A12" s="247">
        <v>1</v>
      </c>
      <c r="B12" s="420" t="s">
        <v>734</v>
      </c>
      <c r="C12" s="837"/>
      <c r="D12" s="837"/>
      <c r="E12" s="837"/>
      <c r="F12" s="837"/>
      <c r="G12" s="481"/>
      <c r="H12" s="481"/>
      <c r="I12" s="247">
        <f>A12</f>
        <v>1</v>
      </c>
    </row>
    <row r="13" spans="1:9">
      <c r="A13" s="247">
        <f>A12+1</f>
        <v>2</v>
      </c>
      <c r="B13" s="420" t="s">
        <v>347</v>
      </c>
      <c r="C13" s="473">
        <v>0</v>
      </c>
      <c r="D13" s="473"/>
      <c r="E13" s="473">
        <v>0</v>
      </c>
      <c r="F13" s="838"/>
      <c r="G13" s="376">
        <f>SUM(C13:E13)</f>
        <v>0</v>
      </c>
      <c r="H13" s="401"/>
      <c r="I13" s="247">
        <f>I12+1</f>
        <v>2</v>
      </c>
    </row>
    <row r="14" spans="1:9">
      <c r="A14" s="247">
        <f t="shared" ref="A14:A33" si="0">A13+1</f>
        <v>3</v>
      </c>
      <c r="B14" s="420" t="s">
        <v>348</v>
      </c>
      <c r="C14" s="491">
        <v>0</v>
      </c>
      <c r="D14" s="491"/>
      <c r="E14" s="491">
        <v>0</v>
      </c>
      <c r="F14" s="491"/>
      <c r="G14" s="164">
        <f>SUM(C14:E14)</f>
        <v>0</v>
      </c>
      <c r="H14" s="401"/>
      <c r="I14" s="247">
        <f t="shared" ref="I14:I33" si="1">I13+1</f>
        <v>3</v>
      </c>
    </row>
    <row r="15" spans="1:9">
      <c r="A15" s="247">
        <f t="shared" si="0"/>
        <v>4</v>
      </c>
      <c r="B15" s="420" t="s">
        <v>349</v>
      </c>
      <c r="C15" s="491">
        <v>0</v>
      </c>
      <c r="D15" s="491"/>
      <c r="E15" s="491">
        <v>0</v>
      </c>
      <c r="F15" s="491"/>
      <c r="G15" s="164">
        <f>SUM(C15:E15)</f>
        <v>0</v>
      </c>
      <c r="H15" s="401"/>
      <c r="I15" s="247">
        <f t="shared" si="1"/>
        <v>4</v>
      </c>
    </row>
    <row r="16" spans="1:9">
      <c r="A16" s="247">
        <f t="shared" si="0"/>
        <v>5</v>
      </c>
      <c r="B16" s="420"/>
      <c r="C16" s="491">
        <v>0</v>
      </c>
      <c r="D16" s="491"/>
      <c r="E16" s="491">
        <v>0</v>
      </c>
      <c r="F16" s="164"/>
      <c r="G16" s="164">
        <f>SUM(C16:E16)</f>
        <v>0</v>
      </c>
      <c r="H16" s="164"/>
      <c r="I16" s="247">
        <f t="shared" si="1"/>
        <v>5</v>
      </c>
    </row>
    <row r="17" spans="1:9">
      <c r="A17" s="247">
        <f t="shared" si="0"/>
        <v>6</v>
      </c>
      <c r="C17" s="164">
        <v>0</v>
      </c>
      <c r="D17" s="164"/>
      <c r="E17" s="164">
        <v>0</v>
      </c>
      <c r="F17" s="164"/>
      <c r="G17" s="164">
        <f>SUM(C17:E17)</f>
        <v>0</v>
      </c>
      <c r="H17" s="164"/>
      <c r="I17" s="247">
        <f t="shared" si="1"/>
        <v>6</v>
      </c>
    </row>
    <row r="18" spans="1:9" ht="16.5" thickBot="1">
      <c r="A18" s="247">
        <f t="shared" si="0"/>
        <v>7</v>
      </c>
      <c r="B18" s="466" t="s">
        <v>350</v>
      </c>
      <c r="C18" s="839">
        <f t="shared" ref="C18:G18" si="2">SUM(C13:C17)</f>
        <v>0</v>
      </c>
      <c r="D18" s="323"/>
      <c r="E18" s="839">
        <f>SUM(E13:E17)</f>
        <v>0</v>
      </c>
      <c r="F18" s="164"/>
      <c r="G18" s="839">
        <f t="shared" si="2"/>
        <v>0</v>
      </c>
      <c r="H18" s="840" t="str">
        <f>"Sum Lines "&amp;A13&amp;" thru "&amp;A17</f>
        <v>Sum Lines 2 thru 6</v>
      </c>
      <c r="I18" s="247">
        <f t="shared" si="1"/>
        <v>7</v>
      </c>
    </row>
    <row r="19" spans="1:9" ht="16.5" thickTop="1">
      <c r="A19" s="247">
        <f t="shared" si="0"/>
        <v>8</v>
      </c>
      <c r="C19" s="841"/>
      <c r="D19" s="841"/>
      <c r="E19" s="841"/>
      <c r="F19" s="841"/>
      <c r="G19" s="841"/>
      <c r="H19" s="841"/>
      <c r="I19" s="247">
        <f t="shared" si="1"/>
        <v>8</v>
      </c>
    </row>
    <row r="20" spans="1:9">
      <c r="A20" s="247">
        <f t="shared" si="0"/>
        <v>9</v>
      </c>
      <c r="B20" s="420" t="s">
        <v>735</v>
      </c>
      <c r="C20" s="837"/>
      <c r="D20" s="837"/>
      <c r="E20" s="837"/>
      <c r="F20" s="837"/>
      <c r="G20" s="481"/>
      <c r="H20" s="481"/>
      <c r="I20" s="247">
        <f t="shared" si="1"/>
        <v>9</v>
      </c>
    </row>
    <row r="21" spans="1:9">
      <c r="A21" s="247">
        <f t="shared" si="0"/>
        <v>10</v>
      </c>
      <c r="B21" s="842" t="s">
        <v>352</v>
      </c>
      <c r="C21" s="376">
        <v>0</v>
      </c>
      <c r="D21" s="376"/>
      <c r="E21" s="376">
        <v>0</v>
      </c>
      <c r="F21" s="376"/>
      <c r="G21" s="376">
        <f>SUM(C21:E21)</f>
        <v>0</v>
      </c>
      <c r="H21" s="401"/>
      <c r="I21" s="247">
        <f t="shared" si="1"/>
        <v>10</v>
      </c>
    </row>
    <row r="22" spans="1:9">
      <c r="A22" s="247">
        <f t="shared" si="0"/>
        <v>11</v>
      </c>
      <c r="C22" s="164">
        <v>0</v>
      </c>
      <c r="D22" s="164"/>
      <c r="E22" s="164">
        <v>0</v>
      </c>
      <c r="F22" s="164"/>
      <c r="G22" s="164">
        <f>SUM(C22:E22)</f>
        <v>0</v>
      </c>
      <c r="H22" s="164"/>
      <c r="I22" s="247">
        <f t="shared" si="1"/>
        <v>11</v>
      </c>
    </row>
    <row r="23" spans="1:9">
      <c r="A23" s="247">
        <f t="shared" si="0"/>
        <v>12</v>
      </c>
      <c r="C23" s="164">
        <v>0</v>
      </c>
      <c r="D23" s="164"/>
      <c r="E23" s="164">
        <v>0</v>
      </c>
      <c r="F23" s="164"/>
      <c r="G23" s="164">
        <f>SUM(C23:E23)</f>
        <v>0</v>
      </c>
      <c r="H23" s="164"/>
      <c r="I23" s="247">
        <f t="shared" si="1"/>
        <v>12</v>
      </c>
    </row>
    <row r="24" spans="1:9">
      <c r="A24" s="247">
        <f t="shared" si="0"/>
        <v>13</v>
      </c>
      <c r="C24" s="164">
        <v>0</v>
      </c>
      <c r="D24" s="164"/>
      <c r="E24" s="164">
        <v>0</v>
      </c>
      <c r="F24" s="164"/>
      <c r="G24" s="164">
        <f>SUM(C24:E24)</f>
        <v>0</v>
      </c>
      <c r="H24" s="164"/>
      <c r="I24" s="247">
        <f t="shared" si="1"/>
        <v>13</v>
      </c>
    </row>
    <row r="25" spans="1:9" ht="16.5" thickBot="1">
      <c r="A25" s="247">
        <f t="shared" si="0"/>
        <v>14</v>
      </c>
      <c r="B25" s="466" t="s">
        <v>353</v>
      </c>
      <c r="C25" s="839">
        <f>SUM(C21:C24)</f>
        <v>0</v>
      </c>
      <c r="D25" s="323"/>
      <c r="E25" s="839">
        <f>SUM(E21:E24)</f>
        <v>0</v>
      </c>
      <c r="F25" s="164"/>
      <c r="G25" s="839">
        <f>SUM(G21:G24)</f>
        <v>0</v>
      </c>
      <c r="H25" s="840" t="str">
        <f>"Sum Lines "&amp;A21&amp;" thru "&amp;A24</f>
        <v>Sum Lines 10 thru 13</v>
      </c>
      <c r="I25" s="247">
        <f t="shared" si="1"/>
        <v>14</v>
      </c>
    </row>
    <row r="26" spans="1:9" ht="16.5" thickTop="1">
      <c r="A26" s="247">
        <f t="shared" si="0"/>
        <v>15</v>
      </c>
      <c r="I26" s="247">
        <f t="shared" si="1"/>
        <v>15</v>
      </c>
    </row>
    <row r="27" spans="1:9">
      <c r="A27" s="247">
        <f t="shared" si="0"/>
        <v>16</v>
      </c>
      <c r="B27" s="420" t="s">
        <v>736</v>
      </c>
      <c r="C27" s="837"/>
      <c r="D27" s="837"/>
      <c r="E27" s="837"/>
      <c r="F27" s="837"/>
      <c r="G27" s="481"/>
      <c r="H27" s="247"/>
      <c r="I27" s="247">
        <f t="shared" si="1"/>
        <v>16</v>
      </c>
    </row>
    <row r="28" spans="1:9">
      <c r="A28" s="247">
        <f t="shared" si="0"/>
        <v>17</v>
      </c>
      <c r="B28" s="420" t="s">
        <v>355</v>
      </c>
      <c r="C28" s="473">
        <v>0</v>
      </c>
      <c r="D28" s="473"/>
      <c r="E28" s="473">
        <v>0</v>
      </c>
      <c r="F28" s="838"/>
      <c r="G28" s="376">
        <f>SUM(C28:E28)</f>
        <v>0</v>
      </c>
      <c r="H28" s="401"/>
      <c r="I28" s="247">
        <f t="shared" si="1"/>
        <v>17</v>
      </c>
    </row>
    <row r="29" spans="1:9">
      <c r="A29" s="247">
        <f t="shared" si="0"/>
        <v>18</v>
      </c>
      <c r="B29" s="420"/>
      <c r="C29" s="491">
        <v>0</v>
      </c>
      <c r="D29" s="491"/>
      <c r="E29" s="491">
        <v>0</v>
      </c>
      <c r="F29" s="164"/>
      <c r="G29" s="164">
        <f>SUM(C29:E29)</f>
        <v>0</v>
      </c>
      <c r="H29" s="247"/>
      <c r="I29" s="247">
        <f t="shared" si="1"/>
        <v>18</v>
      </c>
    </row>
    <row r="30" spans="1:9">
      <c r="A30" s="247">
        <f t="shared" si="0"/>
        <v>19</v>
      </c>
      <c r="B30" s="420"/>
      <c r="C30" s="164">
        <v>0</v>
      </c>
      <c r="D30" s="164"/>
      <c r="E30" s="164">
        <v>0</v>
      </c>
      <c r="F30" s="164"/>
      <c r="G30" s="164">
        <f>SUM(C30:E30)</f>
        <v>0</v>
      </c>
      <c r="H30" s="164"/>
      <c r="I30" s="247">
        <f t="shared" si="1"/>
        <v>19</v>
      </c>
    </row>
    <row r="31" spans="1:9">
      <c r="A31" s="247">
        <f t="shared" si="0"/>
        <v>20</v>
      </c>
      <c r="B31" s="420"/>
      <c r="C31" s="164">
        <v>0</v>
      </c>
      <c r="D31" s="164"/>
      <c r="E31" s="164">
        <v>0</v>
      </c>
      <c r="F31" s="164"/>
      <c r="G31" s="164">
        <f>SUM(C31:E31)</f>
        <v>0</v>
      </c>
      <c r="H31" s="164"/>
      <c r="I31" s="247">
        <f t="shared" si="1"/>
        <v>20</v>
      </c>
    </row>
    <row r="32" spans="1:9">
      <c r="A32" s="247">
        <f t="shared" si="0"/>
        <v>21</v>
      </c>
      <c r="B32" s="420"/>
      <c r="C32" s="164">
        <v>0</v>
      </c>
      <c r="D32" s="164"/>
      <c r="E32" s="164">
        <v>0</v>
      </c>
      <c r="F32" s="164"/>
      <c r="G32" s="164">
        <f>SUM(C32:E32)</f>
        <v>0</v>
      </c>
      <c r="H32" s="164"/>
      <c r="I32" s="247">
        <f t="shared" si="1"/>
        <v>21</v>
      </c>
    </row>
    <row r="33" spans="1:9" ht="16.5" thickBot="1">
      <c r="A33" s="247">
        <f t="shared" si="0"/>
        <v>22</v>
      </c>
      <c r="B33" s="466" t="s">
        <v>356</v>
      </c>
      <c r="C33" s="839">
        <f t="shared" ref="C33" si="3">SUM(C28:C32)</f>
        <v>0</v>
      </c>
      <c r="D33" s="323"/>
      <c r="E33" s="839">
        <f>SUM(E28:E32)</f>
        <v>0</v>
      </c>
      <c r="F33" s="164"/>
      <c r="G33" s="839">
        <f>SUM(G28:G32)</f>
        <v>0</v>
      </c>
      <c r="H33" s="840" t="str">
        <f>"Sum Lines "&amp;A28&amp;" thru "&amp;A32</f>
        <v>Sum Lines 17 thru 21</v>
      </c>
      <c r="I33" s="247">
        <f t="shared" si="1"/>
        <v>22</v>
      </c>
    </row>
    <row r="34" spans="1:9" ht="16.5" thickTop="1"/>
    <row r="36" spans="1:9" ht="18.75">
      <c r="A36" s="372">
        <v>1</v>
      </c>
      <c r="B36" s="136" t="s">
        <v>737</v>
      </c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71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M158"/>
  <sheetViews>
    <sheetView zoomScale="80" zoomScaleNormal="80" zoomScalePageLayoutView="50" workbookViewId="0">
      <selection activeCell="N36" sqref="N36"/>
    </sheetView>
  </sheetViews>
  <sheetFormatPr defaultColWidth="8.5703125" defaultRowHeight="15.75"/>
  <cols>
    <col min="1" max="1" width="5.140625" style="247" customWidth="1"/>
    <col min="2" max="2" width="55.42578125" style="216" customWidth="1"/>
    <col min="3" max="4" width="15.5703125" style="216" customWidth="1"/>
    <col min="5" max="5" width="15.5703125" style="216" bestFit="1" customWidth="1"/>
    <col min="6" max="6" width="1.5703125" style="216" customWidth="1"/>
    <col min="7" max="7" width="16.5703125" style="216" customWidth="1"/>
    <col min="8" max="8" width="1.5703125" style="216" customWidth="1"/>
    <col min="9" max="9" width="38.5703125" style="435" customWidth="1"/>
    <col min="10" max="10" width="5.140625" style="216" customWidth="1"/>
    <col min="11" max="11" width="27" style="216" bestFit="1" customWidth="1"/>
    <col min="12" max="12" width="15" style="216" bestFit="1" customWidth="1"/>
    <col min="13" max="13" width="10.42578125" style="216" bestFit="1" customWidth="1"/>
    <col min="14" max="16384" width="8.5703125" style="216"/>
  </cols>
  <sheetData>
    <row r="1" spans="1:10">
      <c r="A1" s="479"/>
      <c r="G1" s="396"/>
      <c r="H1" s="396"/>
      <c r="I1" s="480"/>
      <c r="J1" s="247"/>
    </row>
    <row r="2" spans="1:10">
      <c r="B2" s="1281" t="s">
        <v>738</v>
      </c>
      <c r="C2" s="1281"/>
      <c r="D2" s="1281"/>
      <c r="E2" s="1281"/>
      <c r="F2" s="1281"/>
      <c r="G2" s="1281"/>
      <c r="H2" s="1281"/>
      <c r="I2" s="1281"/>
      <c r="J2" s="247"/>
    </row>
    <row r="3" spans="1:10">
      <c r="B3" s="1281" t="s">
        <v>739</v>
      </c>
      <c r="C3" s="1281"/>
      <c r="D3" s="1281"/>
      <c r="E3" s="1281"/>
      <c r="F3" s="1281"/>
      <c r="G3" s="1281"/>
      <c r="H3" s="1281"/>
      <c r="I3" s="1281"/>
      <c r="J3" s="247"/>
    </row>
    <row r="4" spans="1:10">
      <c r="B4" s="1281" t="s">
        <v>740</v>
      </c>
      <c r="C4" s="1281"/>
      <c r="D4" s="1281"/>
      <c r="E4" s="1281"/>
      <c r="F4" s="1281"/>
      <c r="G4" s="1281"/>
      <c r="H4" s="1281"/>
      <c r="I4" s="1281"/>
      <c r="J4" s="247"/>
    </row>
    <row r="5" spans="1:10">
      <c r="B5" s="1283" t="str">
        <f>'A. Sec.1 - Direct Maintenance'!B5</f>
        <v>Base Period &amp; True-Up Period 12 - Months Ending December 31, 2024</v>
      </c>
      <c r="C5" s="1283"/>
      <c r="D5" s="1283"/>
      <c r="E5" s="1283"/>
      <c r="F5" s="1283"/>
      <c r="G5" s="1283"/>
      <c r="H5" s="1283"/>
      <c r="I5" s="1283"/>
      <c r="J5" s="247"/>
    </row>
    <row r="6" spans="1:10">
      <c r="B6" s="1279" t="s">
        <v>3</v>
      </c>
      <c r="C6" s="1293"/>
      <c r="D6" s="1293"/>
      <c r="E6" s="1293"/>
      <c r="F6" s="1293"/>
      <c r="G6" s="1293"/>
      <c r="H6" s="1293"/>
      <c r="I6" s="1293"/>
      <c r="J6" s="247"/>
    </row>
    <row r="7" spans="1:10">
      <c r="B7" s="247"/>
      <c r="C7" s="247"/>
      <c r="D7" s="247"/>
      <c r="E7" s="247"/>
      <c r="F7" s="247"/>
      <c r="G7" s="247"/>
      <c r="H7" s="247"/>
      <c r="I7" s="481"/>
      <c r="J7" s="247"/>
    </row>
    <row r="8" spans="1:10">
      <c r="A8" s="247" t="s">
        <v>4</v>
      </c>
      <c r="B8" s="551"/>
      <c r="C8" s="551"/>
      <c r="D8" s="551"/>
      <c r="E8" s="247" t="s">
        <v>188</v>
      </c>
      <c r="F8" s="551"/>
      <c r="G8" s="551"/>
      <c r="H8" s="551"/>
      <c r="I8" s="481"/>
      <c r="J8" s="247" t="s">
        <v>4</v>
      </c>
    </row>
    <row r="9" spans="1:10">
      <c r="A9" s="247" t="s">
        <v>5</v>
      </c>
      <c r="B9" s="247"/>
      <c r="C9" s="247"/>
      <c r="D9" s="247"/>
      <c r="E9" s="994" t="s">
        <v>190</v>
      </c>
      <c r="F9" s="247"/>
      <c r="G9" s="995" t="s">
        <v>7</v>
      </c>
      <c r="H9" s="551"/>
      <c r="I9" s="1046" t="s">
        <v>8</v>
      </c>
      <c r="J9" s="247" t="s">
        <v>5</v>
      </c>
    </row>
    <row r="10" spans="1:10">
      <c r="B10" s="247"/>
      <c r="C10" s="247"/>
      <c r="D10" s="247"/>
      <c r="E10" s="247"/>
      <c r="F10" s="247"/>
      <c r="G10" s="247"/>
      <c r="H10" s="247"/>
      <c r="I10" s="481"/>
      <c r="J10" s="247"/>
    </row>
    <row r="11" spans="1:10">
      <c r="A11" s="247">
        <v>1</v>
      </c>
      <c r="B11" s="461" t="s">
        <v>741</v>
      </c>
      <c r="I11" s="481"/>
      <c r="J11" s="247">
        <f>A11</f>
        <v>1</v>
      </c>
    </row>
    <row r="12" spans="1:10">
      <c r="A12" s="247">
        <f>A11+1</f>
        <v>2</v>
      </c>
      <c r="B12" s="216" t="s">
        <v>742</v>
      </c>
      <c r="E12" s="247" t="s">
        <v>983</v>
      </c>
      <c r="G12" s="394">
        <v>8950000</v>
      </c>
      <c r="H12" s="551"/>
      <c r="I12" s="482"/>
      <c r="J12" s="247">
        <f>J11+1</f>
        <v>2</v>
      </c>
    </row>
    <row r="13" spans="1:10">
      <c r="A13" s="247">
        <f t="shared" ref="A13:A65" si="0">A12+1</f>
        <v>3</v>
      </c>
      <c r="B13" s="216" t="s">
        <v>743</v>
      </c>
      <c r="E13" s="247" t="s">
        <v>984</v>
      </c>
      <c r="G13" s="397">
        <v>0</v>
      </c>
      <c r="H13" s="551"/>
      <c r="I13" s="482"/>
      <c r="J13" s="247">
        <f t="shared" ref="J13:J65" si="1">J12+1</f>
        <v>3</v>
      </c>
    </row>
    <row r="14" spans="1:10">
      <c r="A14" s="247">
        <f t="shared" si="0"/>
        <v>4</v>
      </c>
      <c r="B14" s="216" t="s">
        <v>744</v>
      </c>
      <c r="E14" s="247" t="s">
        <v>985</v>
      </c>
      <c r="G14" s="397">
        <v>0</v>
      </c>
      <c r="H14" s="551"/>
      <c r="I14" s="482"/>
      <c r="J14" s="247">
        <f t="shared" si="1"/>
        <v>4</v>
      </c>
    </row>
    <row r="15" spans="1:10">
      <c r="A15" s="247">
        <f t="shared" si="0"/>
        <v>5</v>
      </c>
      <c r="B15" s="216" t="s">
        <v>745</v>
      </c>
      <c r="E15" s="247" t="s">
        <v>986</v>
      </c>
      <c r="G15" s="397">
        <v>0</v>
      </c>
      <c r="H15" s="551"/>
      <c r="I15" s="482"/>
      <c r="J15" s="247">
        <f t="shared" si="1"/>
        <v>5</v>
      </c>
    </row>
    <row r="16" spans="1:10">
      <c r="A16" s="247">
        <f t="shared" si="0"/>
        <v>6</v>
      </c>
      <c r="B16" s="216" t="s">
        <v>746</v>
      </c>
      <c r="E16" s="247" t="s">
        <v>987</v>
      </c>
      <c r="G16" s="397">
        <v>-33111.982000000004</v>
      </c>
      <c r="H16" s="551"/>
      <c r="I16" s="482"/>
      <c r="J16" s="247">
        <f t="shared" si="1"/>
        <v>6</v>
      </c>
    </row>
    <row r="17" spans="1:10">
      <c r="A17" s="247">
        <f t="shared" si="0"/>
        <v>7</v>
      </c>
      <c r="B17" s="216" t="s">
        <v>747</v>
      </c>
      <c r="G17" s="980">
        <f>SUM(G12:G16)</f>
        <v>8916888.0179999992</v>
      </c>
      <c r="H17" s="370"/>
      <c r="I17" s="481" t="str">
        <f>"Sum Lines "&amp;A12&amp;" thru "&amp;A16</f>
        <v>Sum Lines 2 thru 6</v>
      </c>
      <c r="J17" s="247">
        <f t="shared" si="1"/>
        <v>7</v>
      </c>
    </row>
    <row r="18" spans="1:10">
      <c r="A18" s="247">
        <f t="shared" si="0"/>
        <v>8</v>
      </c>
      <c r="I18" s="481"/>
      <c r="J18" s="247">
        <f t="shared" si="1"/>
        <v>8</v>
      </c>
    </row>
    <row r="19" spans="1:10">
      <c r="A19" s="247">
        <f t="shared" si="0"/>
        <v>9</v>
      </c>
      <c r="B19" s="461" t="s">
        <v>748</v>
      </c>
      <c r="G19" s="164"/>
      <c r="H19" s="164"/>
      <c r="I19" s="481"/>
      <c r="J19" s="247">
        <f t="shared" si="1"/>
        <v>9</v>
      </c>
    </row>
    <row r="20" spans="1:10">
      <c r="A20" s="247">
        <f t="shared" si="0"/>
        <v>10</v>
      </c>
      <c r="B20" s="216" t="s">
        <v>749</v>
      </c>
      <c r="E20" s="247" t="s">
        <v>988</v>
      </c>
      <c r="G20" s="394">
        <v>362480.12900000002</v>
      </c>
      <c r="H20" s="551"/>
      <c r="I20" s="482"/>
      <c r="J20" s="247">
        <f t="shared" si="1"/>
        <v>10</v>
      </c>
    </row>
    <row r="21" spans="1:10">
      <c r="A21" s="247">
        <f t="shared" si="0"/>
        <v>11</v>
      </c>
      <c r="B21" s="216" t="s">
        <v>750</v>
      </c>
      <c r="E21" s="247" t="s">
        <v>989</v>
      </c>
      <c r="G21" s="397">
        <v>7061.1109999999999</v>
      </c>
      <c r="H21" s="551"/>
      <c r="I21" s="482"/>
      <c r="J21" s="247">
        <f t="shared" si="1"/>
        <v>11</v>
      </c>
    </row>
    <row r="22" spans="1:10">
      <c r="A22" s="247">
        <f t="shared" si="0"/>
        <v>12</v>
      </c>
      <c r="B22" s="216" t="s">
        <v>751</v>
      </c>
      <c r="E22" s="247" t="s">
        <v>990</v>
      </c>
      <c r="G22" s="397">
        <v>672.17100000000005</v>
      </c>
      <c r="H22" s="551"/>
      <c r="I22" s="482"/>
      <c r="J22" s="247">
        <f t="shared" si="1"/>
        <v>12</v>
      </c>
    </row>
    <row r="23" spans="1:10">
      <c r="A23" s="247">
        <f t="shared" si="0"/>
        <v>13</v>
      </c>
      <c r="B23" s="216" t="s">
        <v>752</v>
      </c>
      <c r="E23" s="247" t="s">
        <v>991</v>
      </c>
      <c r="G23" s="397">
        <v>0</v>
      </c>
      <c r="H23" s="551"/>
      <c r="I23" s="482"/>
      <c r="J23" s="247">
        <f t="shared" si="1"/>
        <v>13</v>
      </c>
    </row>
    <row r="24" spans="1:10">
      <c r="A24" s="247">
        <f t="shared" si="0"/>
        <v>14</v>
      </c>
      <c r="B24" s="216" t="s">
        <v>753</v>
      </c>
      <c r="E24" s="247" t="s">
        <v>992</v>
      </c>
      <c r="G24" s="397">
        <v>0</v>
      </c>
      <c r="H24" s="551"/>
      <c r="I24" s="482"/>
      <c r="J24" s="247">
        <f t="shared" si="1"/>
        <v>14</v>
      </c>
    </row>
    <row r="25" spans="1:10">
      <c r="A25" s="247">
        <f t="shared" si="0"/>
        <v>15</v>
      </c>
      <c r="B25" s="216" t="s">
        <v>754</v>
      </c>
      <c r="G25" s="1047">
        <f>SUM(G20:G24)</f>
        <v>370213.41099999996</v>
      </c>
      <c r="H25" s="400"/>
      <c r="I25" s="481" t="str">
        <f>"Sum Lines "&amp;A20&amp;" thru "&amp;A24</f>
        <v>Sum Lines 10 thru 14</v>
      </c>
      <c r="J25" s="247">
        <f t="shared" si="1"/>
        <v>15</v>
      </c>
    </row>
    <row r="26" spans="1:10">
      <c r="A26" s="247">
        <f t="shared" si="0"/>
        <v>16</v>
      </c>
      <c r="I26" s="481"/>
      <c r="J26" s="247">
        <f t="shared" si="1"/>
        <v>16</v>
      </c>
    </row>
    <row r="27" spans="1:10" ht="16.5" thickBot="1">
      <c r="A27" s="247">
        <f t="shared" si="0"/>
        <v>17</v>
      </c>
      <c r="B27" s="461" t="s">
        <v>755</v>
      </c>
      <c r="G27" s="1169">
        <f>G25/G17</f>
        <v>4.1518230379553031E-2</v>
      </c>
      <c r="H27" s="483"/>
      <c r="I27" s="481" t="str">
        <f>"Line "&amp;A25&amp;" / Line "&amp;A17</f>
        <v>Line 15 / Line 7</v>
      </c>
      <c r="J27" s="247">
        <f t="shared" si="1"/>
        <v>17</v>
      </c>
    </row>
    <row r="28" spans="1:10" ht="16.5" thickTop="1">
      <c r="A28" s="247">
        <f t="shared" si="0"/>
        <v>18</v>
      </c>
      <c r="I28" s="481"/>
      <c r="J28" s="247">
        <f t="shared" si="1"/>
        <v>18</v>
      </c>
    </row>
    <row r="29" spans="1:10">
      <c r="A29" s="247">
        <f t="shared" si="0"/>
        <v>19</v>
      </c>
      <c r="B29" s="461" t="s">
        <v>756</v>
      </c>
      <c r="I29" s="481"/>
      <c r="J29" s="247">
        <f t="shared" si="1"/>
        <v>19</v>
      </c>
    </row>
    <row r="30" spans="1:10">
      <c r="A30" s="247">
        <f t="shared" si="0"/>
        <v>20</v>
      </c>
      <c r="B30" s="216" t="s">
        <v>757</v>
      </c>
      <c r="E30" s="247" t="s">
        <v>993</v>
      </c>
      <c r="G30" s="394">
        <v>0</v>
      </c>
      <c r="H30" s="551"/>
      <c r="I30" s="482"/>
      <c r="J30" s="247">
        <f t="shared" si="1"/>
        <v>20</v>
      </c>
    </row>
    <row r="31" spans="1:10">
      <c r="A31" s="247">
        <f t="shared" si="0"/>
        <v>21</v>
      </c>
      <c r="B31" s="216" t="s">
        <v>758</v>
      </c>
      <c r="E31" s="247" t="s">
        <v>994</v>
      </c>
      <c r="G31" s="1048">
        <v>0</v>
      </c>
      <c r="H31" s="551"/>
      <c r="I31" s="482"/>
      <c r="J31" s="247">
        <f t="shared" si="1"/>
        <v>21</v>
      </c>
    </row>
    <row r="32" spans="1:10" ht="16.5" thickBot="1">
      <c r="A32" s="247">
        <f t="shared" si="0"/>
        <v>22</v>
      </c>
      <c r="B32" s="216" t="s">
        <v>759</v>
      </c>
      <c r="G32" s="1169">
        <f>IFERROR((G31/G30),0)</f>
        <v>0</v>
      </c>
      <c r="H32" s="483"/>
      <c r="I32" s="481" t="str">
        <f>"Line "&amp;A31&amp;" / Line "&amp;A30</f>
        <v>Line 21 / Line 20</v>
      </c>
      <c r="J32" s="247">
        <f t="shared" si="1"/>
        <v>22</v>
      </c>
    </row>
    <row r="33" spans="1:12" ht="16.5" thickTop="1">
      <c r="A33" s="247">
        <f t="shared" si="0"/>
        <v>23</v>
      </c>
      <c r="I33" s="481"/>
      <c r="J33" s="247">
        <f t="shared" si="1"/>
        <v>23</v>
      </c>
    </row>
    <row r="34" spans="1:12">
      <c r="A34" s="247">
        <f t="shared" si="0"/>
        <v>24</v>
      </c>
      <c r="B34" s="461" t="s">
        <v>760</v>
      </c>
      <c r="I34" s="481"/>
      <c r="J34" s="247">
        <f t="shared" si="1"/>
        <v>24</v>
      </c>
    </row>
    <row r="35" spans="1:12">
      <c r="A35" s="247">
        <f t="shared" si="0"/>
        <v>25</v>
      </c>
      <c r="B35" s="216" t="s">
        <v>761</v>
      </c>
      <c r="E35" s="247" t="s">
        <v>995</v>
      </c>
      <c r="G35" s="394">
        <v>10563428.464799998</v>
      </c>
      <c r="H35" s="551"/>
      <c r="I35" s="482"/>
      <c r="J35" s="247">
        <f t="shared" si="1"/>
        <v>25</v>
      </c>
      <c r="K35" s="369"/>
      <c r="L35" s="659"/>
    </row>
    <row r="36" spans="1:12">
      <c r="A36" s="247">
        <f t="shared" si="0"/>
        <v>26</v>
      </c>
      <c r="B36" s="216" t="s">
        <v>762</v>
      </c>
      <c r="E36" s="247" t="s">
        <v>993</v>
      </c>
      <c r="G36" s="484">
        <f>-G30</f>
        <v>0</v>
      </c>
      <c r="H36" s="484"/>
      <c r="I36" s="481" t="str">
        <f>"Negative of Line "&amp;A30&amp;" Above"</f>
        <v>Negative of Line 20 Above</v>
      </c>
      <c r="J36" s="247">
        <f t="shared" si="1"/>
        <v>26</v>
      </c>
    </row>
    <row r="37" spans="1:12">
      <c r="A37" s="247">
        <f t="shared" si="0"/>
        <v>27</v>
      </c>
      <c r="B37" s="216" t="s">
        <v>763</v>
      </c>
      <c r="E37" s="247" t="s">
        <v>996</v>
      </c>
      <c r="G37" s="397">
        <v>0</v>
      </c>
      <c r="H37" s="551"/>
      <c r="I37" s="482"/>
      <c r="J37" s="247">
        <f t="shared" si="1"/>
        <v>27</v>
      </c>
    </row>
    <row r="38" spans="1:12">
      <c r="A38" s="247">
        <f t="shared" si="0"/>
        <v>28</v>
      </c>
      <c r="B38" s="216" t="s">
        <v>764</v>
      </c>
      <c r="E38" s="247" t="s">
        <v>997</v>
      </c>
      <c r="G38" s="397">
        <v>12087.273999999999</v>
      </c>
      <c r="H38" s="551"/>
      <c r="I38" s="482"/>
      <c r="J38" s="247">
        <f t="shared" si="1"/>
        <v>28</v>
      </c>
    </row>
    <row r="39" spans="1:12" ht="16.5" thickBot="1">
      <c r="A39" s="247">
        <f t="shared" si="0"/>
        <v>29</v>
      </c>
      <c r="B39" s="216" t="s">
        <v>765</v>
      </c>
      <c r="G39" s="1049">
        <f>SUM(G35:G38)</f>
        <v>10575515.738799999</v>
      </c>
      <c r="H39" s="485"/>
      <c r="I39" s="481" t="str">
        <f>"Sum Lines "&amp;A35&amp;" thru "&amp;A38</f>
        <v>Sum Lines 25 thru 28</v>
      </c>
      <c r="J39" s="247">
        <f t="shared" si="1"/>
        <v>29</v>
      </c>
    </row>
    <row r="40" spans="1:12" ht="17.25" thickTop="1" thickBot="1">
      <c r="A40" s="486">
        <f t="shared" si="0"/>
        <v>30</v>
      </c>
      <c r="B40" s="266"/>
      <c r="C40" s="266"/>
      <c r="D40" s="266"/>
      <c r="E40" s="266"/>
      <c r="F40" s="266"/>
      <c r="G40" s="266"/>
      <c r="H40" s="266"/>
      <c r="I40" s="487"/>
      <c r="J40" s="486">
        <f t="shared" si="1"/>
        <v>30</v>
      </c>
    </row>
    <row r="41" spans="1:12">
      <c r="A41" s="247">
        <f>A40+1</f>
        <v>31</v>
      </c>
      <c r="I41" s="481"/>
      <c r="J41" s="247">
        <f>J40+1</f>
        <v>31</v>
      </c>
    </row>
    <row r="42" spans="1:12" ht="16.5" thickBot="1">
      <c r="A42" s="247">
        <f>A41+1</f>
        <v>32</v>
      </c>
      <c r="B42" s="461" t="s">
        <v>897</v>
      </c>
      <c r="G42" s="1170">
        <v>0.10100000000000001</v>
      </c>
      <c r="H42" s="551"/>
      <c r="I42" s="247"/>
      <c r="J42" s="247">
        <f>J41+1</f>
        <v>32</v>
      </c>
    </row>
    <row r="43" spans="1:12" ht="16.5" thickTop="1">
      <c r="A43" s="247">
        <f t="shared" si="0"/>
        <v>33</v>
      </c>
      <c r="C43" s="412" t="s">
        <v>77</v>
      </c>
      <c r="D43" s="412" t="s">
        <v>78</v>
      </c>
      <c r="E43" s="412" t="s">
        <v>339</v>
      </c>
      <c r="F43" s="412"/>
      <c r="G43" s="412" t="s">
        <v>766</v>
      </c>
      <c r="H43" s="412"/>
      <c r="I43" s="481"/>
      <c r="J43" s="247">
        <f t="shared" si="1"/>
        <v>33</v>
      </c>
    </row>
    <row r="44" spans="1:12">
      <c r="A44" s="247">
        <f t="shared" si="0"/>
        <v>34</v>
      </c>
      <c r="D44" s="247" t="s">
        <v>767</v>
      </c>
      <c r="E44" s="247" t="s">
        <v>768</v>
      </c>
      <c r="F44" s="247"/>
      <c r="G44" s="247" t="s">
        <v>769</v>
      </c>
      <c r="H44" s="247"/>
      <c r="I44" s="481"/>
      <c r="J44" s="247">
        <f t="shared" si="1"/>
        <v>34</v>
      </c>
    </row>
    <row r="45" spans="1:12" ht="18.75">
      <c r="A45" s="247">
        <f t="shared" si="0"/>
        <v>35</v>
      </c>
      <c r="B45" s="461" t="s">
        <v>770</v>
      </c>
      <c r="C45" s="994" t="s">
        <v>570</v>
      </c>
      <c r="D45" s="994" t="s">
        <v>771</v>
      </c>
      <c r="E45" s="994" t="s">
        <v>772</v>
      </c>
      <c r="F45" s="994"/>
      <c r="G45" s="994" t="s">
        <v>773</v>
      </c>
      <c r="H45" s="247"/>
      <c r="I45" s="481"/>
      <c r="J45" s="247">
        <f t="shared" si="1"/>
        <v>35</v>
      </c>
    </row>
    <row r="46" spans="1:12">
      <c r="A46" s="247">
        <f t="shared" si="0"/>
        <v>36</v>
      </c>
      <c r="I46" s="481"/>
      <c r="J46" s="247">
        <f t="shared" si="1"/>
        <v>36</v>
      </c>
    </row>
    <row r="47" spans="1:12">
      <c r="A47" s="247">
        <f t="shared" si="0"/>
        <v>37</v>
      </c>
      <c r="B47" s="216" t="s">
        <v>774</v>
      </c>
      <c r="C47" s="473">
        <f>G17</f>
        <v>8916888.0179999992</v>
      </c>
      <c r="D47" s="488">
        <f>C47/C$50</f>
        <v>0.45745451044688679</v>
      </c>
      <c r="E47" s="489">
        <f>G27</f>
        <v>4.1518230379553031E-2</v>
      </c>
      <c r="G47" s="490">
        <f>D47*E47</f>
        <v>1.8992701752899493E-2</v>
      </c>
      <c r="H47" s="490"/>
      <c r="I47" s="481" t="str">
        <f>"Col. c = Line "&amp;A27&amp;" Above"</f>
        <v>Col. c = Line 17 Above</v>
      </c>
      <c r="J47" s="247">
        <f t="shared" si="1"/>
        <v>37</v>
      </c>
    </row>
    <row r="48" spans="1:12">
      <c r="A48" s="247">
        <f t="shared" si="0"/>
        <v>38</v>
      </c>
      <c r="B48" s="216" t="s">
        <v>775</v>
      </c>
      <c r="C48" s="491">
        <f>G30</f>
        <v>0</v>
      </c>
      <c r="D48" s="488">
        <f>C48/C$50</f>
        <v>0</v>
      </c>
      <c r="E48" s="489">
        <f>G32</f>
        <v>0</v>
      </c>
      <c r="G48" s="490">
        <f>D48*E48</f>
        <v>0</v>
      </c>
      <c r="H48" s="490"/>
      <c r="I48" s="481" t="str">
        <f>"Col. c = Line "&amp;A32&amp;" Above"</f>
        <v>Col. c = Line 22 Above</v>
      </c>
      <c r="J48" s="247">
        <f t="shared" si="1"/>
        <v>38</v>
      </c>
    </row>
    <row r="49" spans="1:10">
      <c r="A49" s="247">
        <f t="shared" si="0"/>
        <v>39</v>
      </c>
      <c r="B49" s="216" t="s">
        <v>776</v>
      </c>
      <c r="C49" s="491">
        <f>G39</f>
        <v>10575515.738799999</v>
      </c>
      <c r="D49" s="1050">
        <f>C49/C$50</f>
        <v>0.54254548955311332</v>
      </c>
      <c r="E49" s="492">
        <f>G42</f>
        <v>0.10100000000000001</v>
      </c>
      <c r="G49" s="1051">
        <f>D49*E49</f>
        <v>5.4797094444864448E-2</v>
      </c>
      <c r="H49" s="483"/>
      <c r="I49" s="481" t="str">
        <f>"Col. c = Line "&amp;A42&amp;" Above"</f>
        <v>Col. c = Line 32 Above</v>
      </c>
      <c r="J49" s="247">
        <f t="shared" si="1"/>
        <v>39</v>
      </c>
    </row>
    <row r="50" spans="1:10" ht="16.5" thickBot="1">
      <c r="A50" s="247">
        <f t="shared" si="0"/>
        <v>40</v>
      </c>
      <c r="B50" s="216" t="s">
        <v>777</v>
      </c>
      <c r="C50" s="879">
        <f>SUM(C47:C49)</f>
        <v>19492403.756799996</v>
      </c>
      <c r="D50" s="1171">
        <f>SUM(D47:D49)</f>
        <v>1</v>
      </c>
      <c r="G50" s="1169">
        <f>SUM(G47:G49)</f>
        <v>7.3789796197763935E-2</v>
      </c>
      <c r="H50" s="483"/>
      <c r="I50" s="481" t="str">
        <f>"Sum Lines "&amp;A47&amp;" thru "&amp;A49</f>
        <v>Sum Lines 37 thru 39</v>
      </c>
      <c r="J50" s="247">
        <f t="shared" si="1"/>
        <v>40</v>
      </c>
    </row>
    <row r="51" spans="1:10" ht="16.5" thickTop="1">
      <c r="A51" s="247">
        <f t="shared" si="0"/>
        <v>41</v>
      </c>
      <c r="I51" s="481"/>
      <c r="J51" s="247">
        <f t="shared" si="1"/>
        <v>41</v>
      </c>
    </row>
    <row r="52" spans="1:10" ht="16.5" thickBot="1">
      <c r="A52" s="247">
        <f t="shared" si="0"/>
        <v>42</v>
      </c>
      <c r="B52" s="461" t="s">
        <v>778</v>
      </c>
      <c r="G52" s="1169">
        <f>G48+G49</f>
        <v>5.4797094444864448E-2</v>
      </c>
      <c r="H52" s="483"/>
      <c r="I52" s="481" t="str">
        <f>"Line "&amp;A48&amp;" + Line "&amp;A49&amp;"; Col. d"</f>
        <v>Line 38 + Line 39; Col. d</v>
      </c>
      <c r="J52" s="247">
        <f t="shared" si="1"/>
        <v>42</v>
      </c>
    </row>
    <row r="53" spans="1:10" ht="17.25" thickTop="1" thickBot="1">
      <c r="A53" s="486">
        <f t="shared" si="0"/>
        <v>43</v>
      </c>
      <c r="B53" s="877"/>
      <c r="C53" s="266"/>
      <c r="D53" s="266"/>
      <c r="E53" s="266"/>
      <c r="F53" s="266"/>
      <c r="G53" s="878"/>
      <c r="H53" s="878"/>
      <c r="I53" s="487"/>
      <c r="J53" s="486">
        <f t="shared" si="1"/>
        <v>43</v>
      </c>
    </row>
    <row r="54" spans="1:10">
      <c r="A54" s="247">
        <f t="shared" si="0"/>
        <v>44</v>
      </c>
      <c r="B54" s="461"/>
      <c r="G54" s="492"/>
      <c r="H54" s="492"/>
      <c r="I54" s="481"/>
      <c r="J54" s="247">
        <f t="shared" si="1"/>
        <v>44</v>
      </c>
    </row>
    <row r="55" spans="1:10" ht="16.5" thickBot="1">
      <c r="A55" s="247">
        <f t="shared" si="0"/>
        <v>45</v>
      </c>
      <c r="B55" s="461" t="s">
        <v>779</v>
      </c>
      <c r="G55" s="1172">
        <v>0</v>
      </c>
      <c r="H55" s="492"/>
      <c r="I55" s="481" t="s">
        <v>306</v>
      </c>
      <c r="J55" s="247">
        <f t="shared" si="1"/>
        <v>45</v>
      </c>
    </row>
    <row r="56" spans="1:10" ht="16.5" thickTop="1">
      <c r="A56" s="247">
        <f t="shared" si="0"/>
        <v>46</v>
      </c>
      <c r="C56" s="412" t="s">
        <v>77</v>
      </c>
      <c r="D56" s="412" t="s">
        <v>78</v>
      </c>
      <c r="E56" s="412" t="s">
        <v>339</v>
      </c>
      <c r="F56" s="412"/>
      <c r="G56" s="412" t="s">
        <v>766</v>
      </c>
      <c r="H56" s="492"/>
      <c r="I56" s="481"/>
      <c r="J56" s="247">
        <f t="shared" si="1"/>
        <v>46</v>
      </c>
    </row>
    <row r="57" spans="1:10">
      <c r="A57" s="247">
        <f t="shared" si="0"/>
        <v>47</v>
      </c>
      <c r="D57" s="247" t="s">
        <v>767</v>
      </c>
      <c r="E57" s="247" t="s">
        <v>768</v>
      </c>
      <c r="F57" s="247"/>
      <c r="G57" s="247" t="s">
        <v>769</v>
      </c>
      <c r="H57" s="492"/>
      <c r="I57" s="481"/>
      <c r="J57" s="247">
        <f t="shared" si="1"/>
        <v>47</v>
      </c>
    </row>
    <row r="58" spans="1:10" ht="18.75">
      <c r="A58" s="247">
        <f t="shared" si="0"/>
        <v>48</v>
      </c>
      <c r="B58" s="461" t="s">
        <v>780</v>
      </c>
      <c r="C58" s="994" t="s">
        <v>570</v>
      </c>
      <c r="D58" s="994" t="s">
        <v>771</v>
      </c>
      <c r="E58" s="994" t="s">
        <v>772</v>
      </c>
      <c r="F58" s="994"/>
      <c r="G58" s="994" t="s">
        <v>773</v>
      </c>
      <c r="H58" s="492"/>
      <c r="I58" s="481"/>
      <c r="J58" s="247">
        <f t="shared" si="1"/>
        <v>48</v>
      </c>
    </row>
    <row r="59" spans="1:10">
      <c r="A59" s="247">
        <f t="shared" si="0"/>
        <v>49</v>
      </c>
      <c r="G59" s="492"/>
      <c r="H59" s="492"/>
      <c r="I59" s="481"/>
      <c r="J59" s="247">
        <f t="shared" si="1"/>
        <v>49</v>
      </c>
    </row>
    <row r="60" spans="1:10">
      <c r="A60" s="247">
        <f t="shared" si="0"/>
        <v>50</v>
      </c>
      <c r="B60" s="216" t="s">
        <v>774</v>
      </c>
      <c r="C60" s="889">
        <v>0</v>
      </c>
      <c r="D60" s="891">
        <v>0</v>
      </c>
      <c r="E60" s="892">
        <v>0</v>
      </c>
      <c r="G60" s="490">
        <f>D60*E60</f>
        <v>0</v>
      </c>
      <c r="H60" s="492"/>
      <c r="I60" s="481" t="s">
        <v>306</v>
      </c>
      <c r="J60" s="247">
        <f t="shared" si="1"/>
        <v>50</v>
      </c>
    </row>
    <row r="61" spans="1:10">
      <c r="A61" s="247">
        <f t="shared" si="0"/>
        <v>51</v>
      </c>
      <c r="B61" s="216" t="s">
        <v>775</v>
      </c>
      <c r="C61" s="890">
        <v>0</v>
      </c>
      <c r="D61" s="891">
        <v>0</v>
      </c>
      <c r="E61" s="892">
        <v>0</v>
      </c>
      <c r="G61" s="490">
        <f>D61*E61</f>
        <v>0</v>
      </c>
      <c r="H61" s="492"/>
      <c r="I61" s="481" t="s">
        <v>306</v>
      </c>
      <c r="J61" s="247">
        <f t="shared" si="1"/>
        <v>51</v>
      </c>
    </row>
    <row r="62" spans="1:10">
      <c r="A62" s="247">
        <f t="shared" si="0"/>
        <v>52</v>
      </c>
      <c r="B62" s="216" t="s">
        <v>776</v>
      </c>
      <c r="C62" s="890">
        <v>0</v>
      </c>
      <c r="D62" s="1052">
        <v>0</v>
      </c>
      <c r="E62" s="893">
        <v>0</v>
      </c>
      <c r="G62" s="1051">
        <f>D62*E62</f>
        <v>0</v>
      </c>
      <c r="H62" s="492"/>
      <c r="I62" s="481" t="s">
        <v>306</v>
      </c>
      <c r="J62" s="247">
        <f t="shared" si="1"/>
        <v>52</v>
      </c>
    </row>
    <row r="63" spans="1:10" ht="16.5" thickBot="1">
      <c r="A63" s="247">
        <f t="shared" si="0"/>
        <v>53</v>
      </c>
      <c r="B63" s="216" t="s">
        <v>777</v>
      </c>
      <c r="C63" s="879">
        <f>SUM(C60:C62)</f>
        <v>0</v>
      </c>
      <c r="D63" s="1169">
        <f>SUM(D60:D62)</f>
        <v>0</v>
      </c>
      <c r="G63" s="1169">
        <f>SUM(G60:G62)</f>
        <v>0</v>
      </c>
      <c r="H63" s="492"/>
      <c r="I63" s="481" t="str">
        <f>"Sum Lines "&amp;A60&amp;" thru "&amp;A62</f>
        <v>Sum Lines 50 thru 52</v>
      </c>
      <c r="J63" s="247">
        <f t="shared" si="1"/>
        <v>53</v>
      </c>
    </row>
    <row r="64" spans="1:10" ht="16.5" thickTop="1">
      <c r="A64" s="247">
        <f t="shared" si="0"/>
        <v>54</v>
      </c>
      <c r="H64" s="492"/>
      <c r="I64" s="481"/>
      <c r="J64" s="247">
        <f t="shared" si="1"/>
        <v>54</v>
      </c>
    </row>
    <row r="65" spans="1:10" ht="16.5" thickBot="1">
      <c r="A65" s="247">
        <f t="shared" si="0"/>
        <v>55</v>
      </c>
      <c r="B65" s="461" t="s">
        <v>781</v>
      </c>
      <c r="G65" s="1169">
        <f>G61+G62</f>
        <v>0</v>
      </c>
      <c r="H65" s="492"/>
      <c r="I65" s="481" t="str">
        <f>"Line "&amp;A61&amp;" + Line "&amp;A62&amp;"; Col. d"</f>
        <v>Line 51 + Line 52; Col. d</v>
      </c>
      <c r="J65" s="247">
        <f t="shared" si="1"/>
        <v>55</v>
      </c>
    </row>
    <row r="66" spans="1:10" ht="16.5" thickTop="1">
      <c r="B66" s="461"/>
      <c r="G66" s="492"/>
      <c r="H66" s="492"/>
      <c r="I66" s="481"/>
      <c r="J66" s="247"/>
    </row>
    <row r="67" spans="1:10">
      <c r="B67" s="461"/>
      <c r="G67" s="492"/>
      <c r="H67" s="492"/>
      <c r="I67" s="481"/>
      <c r="J67" s="247"/>
    </row>
    <row r="68" spans="1:10" ht="18.75">
      <c r="A68" s="477">
        <v>1</v>
      </c>
      <c r="B68" s="3" t="s">
        <v>782</v>
      </c>
      <c r="G68" s="396"/>
      <c r="H68" s="396"/>
      <c r="J68" s="247" t="s">
        <v>185</v>
      </c>
    </row>
    <row r="69" spans="1:10" ht="18.75">
      <c r="A69" s="923"/>
      <c r="B69" s="809"/>
      <c r="G69" s="396"/>
      <c r="H69" s="396"/>
      <c r="J69" s="247"/>
    </row>
    <row r="70" spans="1:10" ht="18.75">
      <c r="A70" s="477"/>
      <c r="B70" s="3"/>
      <c r="D70" s="247"/>
      <c r="G70" s="396"/>
      <c r="H70" s="396"/>
      <c r="J70" s="247"/>
    </row>
    <row r="71" spans="1:10">
      <c r="B71" s="1281" t="s">
        <v>738</v>
      </c>
      <c r="C71" s="1281"/>
      <c r="D71" s="1281"/>
      <c r="E71" s="1281"/>
      <c r="F71" s="1281"/>
      <c r="G71" s="1281"/>
      <c r="H71" s="1281"/>
      <c r="I71" s="1281"/>
      <c r="J71" s="247"/>
    </row>
    <row r="72" spans="1:10">
      <c r="B72" s="1281" t="s">
        <v>739</v>
      </c>
      <c r="C72" s="1281"/>
      <c r="D72" s="1281"/>
      <c r="E72" s="1281"/>
      <c r="F72" s="1281"/>
      <c r="G72" s="1281"/>
      <c r="H72" s="1281"/>
      <c r="I72" s="1281"/>
      <c r="J72" s="247"/>
    </row>
    <row r="73" spans="1:10">
      <c r="B73" s="1281" t="s">
        <v>740</v>
      </c>
      <c r="C73" s="1281"/>
      <c r="D73" s="1281"/>
      <c r="E73" s="1281"/>
      <c r="F73" s="1281"/>
      <c r="G73" s="1281"/>
      <c r="H73" s="1281"/>
      <c r="I73" s="1281"/>
      <c r="J73" s="247"/>
    </row>
    <row r="74" spans="1:10">
      <c r="B74" s="1283" t="str">
        <f>B5</f>
        <v>Base Period &amp; True-Up Period 12 - Months Ending December 31, 2024</v>
      </c>
      <c r="C74" s="1283"/>
      <c r="D74" s="1283"/>
      <c r="E74" s="1283"/>
      <c r="F74" s="1283"/>
      <c r="G74" s="1283"/>
      <c r="H74" s="1283"/>
      <c r="I74" s="1283"/>
      <c r="J74" s="247"/>
    </row>
    <row r="75" spans="1:10">
      <c r="B75" s="1279" t="s">
        <v>3</v>
      </c>
      <c r="C75" s="1293"/>
      <c r="D75" s="1293"/>
      <c r="E75" s="1293"/>
      <c r="F75" s="1293"/>
      <c r="G75" s="1293"/>
      <c r="H75" s="1293"/>
      <c r="I75" s="1293"/>
      <c r="J75" s="247"/>
    </row>
    <row r="76" spans="1:10">
      <c r="B76" s="247"/>
      <c r="C76" s="247"/>
      <c r="D76" s="247"/>
      <c r="E76" s="247"/>
      <c r="F76" s="247"/>
      <c r="G76" s="247"/>
      <c r="H76" s="247"/>
      <c r="I76" s="481"/>
      <c r="J76" s="247"/>
    </row>
    <row r="77" spans="1:10">
      <c r="A77" s="247" t="s">
        <v>4</v>
      </c>
      <c r="B77" s="551"/>
      <c r="C77" s="551"/>
      <c r="D77" s="551"/>
      <c r="E77" s="551"/>
      <c r="F77" s="551"/>
      <c r="G77" s="551"/>
      <c r="H77" s="551"/>
      <c r="I77" s="481"/>
      <c r="J77" s="247" t="s">
        <v>4</v>
      </c>
    </row>
    <row r="78" spans="1:10">
      <c r="A78" s="247" t="s">
        <v>5</v>
      </c>
      <c r="B78" s="247"/>
      <c r="C78" s="247"/>
      <c r="D78" s="247"/>
      <c r="E78" s="247"/>
      <c r="F78" s="247"/>
      <c r="G78" s="994" t="s">
        <v>7</v>
      </c>
      <c r="H78" s="551"/>
      <c r="I78" s="1046" t="s">
        <v>8</v>
      </c>
      <c r="J78" s="247" t="s">
        <v>5</v>
      </c>
    </row>
    <row r="79" spans="1:10">
      <c r="G79" s="247"/>
      <c r="H79" s="247"/>
      <c r="I79" s="481"/>
      <c r="J79" s="247"/>
    </row>
    <row r="80" spans="1:10" ht="18.75">
      <c r="A80" s="247">
        <v>1</v>
      </c>
      <c r="B80" s="461" t="s">
        <v>783</v>
      </c>
      <c r="E80" s="551"/>
      <c r="F80" s="551"/>
      <c r="G80" s="395"/>
      <c r="H80" s="395"/>
      <c r="I80" s="481"/>
      <c r="J80" s="247">
        <v>1</v>
      </c>
    </row>
    <row r="81" spans="1:13">
      <c r="A81" s="247">
        <f>A80+1</f>
        <v>2</v>
      </c>
      <c r="B81" s="493"/>
      <c r="E81" s="551"/>
      <c r="F81" s="551"/>
      <c r="G81" s="395"/>
      <c r="H81" s="395"/>
      <c r="I81" s="481"/>
      <c r="J81" s="247">
        <f>J80+1</f>
        <v>2</v>
      </c>
    </row>
    <row r="82" spans="1:13">
      <c r="A82" s="247">
        <f>A81+1</f>
        <v>3</v>
      </c>
      <c r="B82" s="461" t="s">
        <v>784</v>
      </c>
      <c r="E82" s="551"/>
      <c r="F82" s="551"/>
      <c r="G82" s="395"/>
      <c r="H82" s="395"/>
      <c r="I82" s="481"/>
      <c r="J82" s="247">
        <f>J81+1</f>
        <v>3</v>
      </c>
    </row>
    <row r="83" spans="1:13">
      <c r="A83" s="247">
        <f>A82+1</f>
        <v>4</v>
      </c>
      <c r="B83" s="551"/>
      <c r="C83" s="551"/>
      <c r="D83" s="551"/>
      <c r="E83" s="551"/>
      <c r="F83" s="551"/>
      <c r="G83" s="395"/>
      <c r="H83" s="395"/>
      <c r="I83" s="481"/>
      <c r="J83" s="247">
        <f>J82+1</f>
        <v>4</v>
      </c>
    </row>
    <row r="84" spans="1:13">
      <c r="A84" s="247">
        <f t="shared" ref="A84:A110" si="2">A83+1</f>
        <v>5</v>
      </c>
      <c r="B84" s="420" t="s">
        <v>785</v>
      </c>
      <c r="C84" s="551"/>
      <c r="D84" s="551"/>
      <c r="E84" s="551"/>
      <c r="F84" s="551"/>
      <c r="G84" s="395"/>
      <c r="H84" s="395"/>
      <c r="I84" s="494"/>
      <c r="J84" s="247">
        <f t="shared" ref="J84:J110" si="3">J83+1</f>
        <v>5</v>
      </c>
    </row>
    <row r="85" spans="1:13">
      <c r="A85" s="247">
        <f t="shared" si="2"/>
        <v>6</v>
      </c>
      <c r="B85" s="216" t="s">
        <v>786</v>
      </c>
      <c r="D85" s="551"/>
      <c r="E85" s="551"/>
      <c r="F85" s="551"/>
      <c r="G85" s="495">
        <f>G52</f>
        <v>5.4797094444864448E-2</v>
      </c>
      <c r="H85" s="551"/>
      <c r="I85" s="481" t="str">
        <f>"AV1; Line "&amp;A52</f>
        <v>AV1; Line 42</v>
      </c>
      <c r="J85" s="247">
        <f t="shared" si="3"/>
        <v>6</v>
      </c>
      <c r="L85" s="247"/>
    </row>
    <row r="86" spans="1:13">
      <c r="A86" s="247">
        <f t="shared" si="2"/>
        <v>7</v>
      </c>
      <c r="B86" s="216" t="s">
        <v>787</v>
      </c>
      <c r="D86" s="551"/>
      <c r="E86" s="551"/>
      <c r="F86" s="551"/>
      <c r="G86" s="496">
        <f>-'Stmt AR'!E21</f>
        <v>264.76299999999998</v>
      </c>
      <c r="H86" s="551"/>
      <c r="I86" s="481" t="str">
        <f>"Negative of Statement AR; Line "&amp;'Stmt AR'!A21</f>
        <v>Negative of Statement AR; Line 11</v>
      </c>
      <c r="J86" s="247">
        <f t="shared" si="3"/>
        <v>7</v>
      </c>
      <c r="L86" s="247"/>
    </row>
    <row r="87" spans="1:13" ht="18.75">
      <c r="A87" s="247">
        <f t="shared" si="2"/>
        <v>8</v>
      </c>
      <c r="B87" s="216" t="s">
        <v>788</v>
      </c>
      <c r="D87" s="551"/>
      <c r="E87" s="551"/>
      <c r="F87" s="551"/>
      <c r="G87" s="497">
        <f>'AV-2A'!C26</f>
        <v>12090.157470000002</v>
      </c>
      <c r="H87" s="551"/>
      <c r="I87" s="480" t="str">
        <f>"AV-2A; Line "&amp;'AV-2A'!A26&amp;""</f>
        <v>AV-2A; Line 14</v>
      </c>
      <c r="J87" s="247">
        <f t="shared" si="3"/>
        <v>8</v>
      </c>
      <c r="L87" s="551"/>
    </row>
    <row r="88" spans="1:13">
      <c r="A88" s="247">
        <f t="shared" si="2"/>
        <v>9</v>
      </c>
      <c r="B88" s="216" t="s">
        <v>789</v>
      </c>
      <c r="D88" s="551"/>
      <c r="E88" s="498"/>
      <c r="F88" s="551"/>
      <c r="G88" s="469">
        <f>'AV-4'!C36</f>
        <v>5362324.3945622519</v>
      </c>
      <c r="H88" s="551"/>
      <c r="I88" s="480" t="str">
        <f>"AV-4; Page 1; Line "&amp;'AV-4'!A36</f>
        <v>AV-4; Page 1; Line 26</v>
      </c>
      <c r="J88" s="247">
        <f t="shared" si="3"/>
        <v>9</v>
      </c>
    </row>
    <row r="89" spans="1:13">
      <c r="A89" s="247">
        <f t="shared" si="2"/>
        <v>10</v>
      </c>
      <c r="B89" s="216" t="s">
        <v>790</v>
      </c>
      <c r="D89" s="499"/>
      <c r="E89" s="551"/>
      <c r="F89" s="551"/>
      <c r="G89" s="1053">
        <v>0.21</v>
      </c>
      <c r="H89" s="551"/>
      <c r="I89" s="481" t="s">
        <v>791</v>
      </c>
      <c r="J89" s="247">
        <f t="shared" si="3"/>
        <v>10</v>
      </c>
      <c r="M89" s="500"/>
    </row>
    <row r="90" spans="1:13">
      <c r="A90" s="247">
        <f t="shared" si="2"/>
        <v>11</v>
      </c>
      <c r="G90" s="247"/>
      <c r="H90" s="247"/>
      <c r="J90" s="247">
        <f t="shared" si="3"/>
        <v>11</v>
      </c>
    </row>
    <row r="91" spans="1:13">
      <c r="A91" s="247">
        <f t="shared" si="2"/>
        <v>12</v>
      </c>
      <c r="B91" s="216" t="s">
        <v>792</v>
      </c>
      <c r="D91" s="551"/>
      <c r="E91" s="551"/>
      <c r="F91" s="551"/>
      <c r="G91" s="501">
        <f>(((G85)+(G87/G88))*G89-(G86/G88))/(1-G89)</f>
        <v>1.5103153645501329E-2</v>
      </c>
      <c r="H91" s="501"/>
      <c r="I91" s="481" t="s">
        <v>793</v>
      </c>
      <c r="J91" s="247">
        <f t="shared" si="3"/>
        <v>12</v>
      </c>
      <c r="M91" s="502"/>
    </row>
    <row r="92" spans="1:13">
      <c r="A92" s="247">
        <f t="shared" si="2"/>
        <v>13</v>
      </c>
      <c r="B92" s="503" t="s">
        <v>794</v>
      </c>
      <c r="G92" s="247"/>
      <c r="H92" s="247"/>
      <c r="J92" s="247">
        <f t="shared" si="3"/>
        <v>13</v>
      </c>
    </row>
    <row r="93" spans="1:13">
      <c r="A93" s="247">
        <f t="shared" si="2"/>
        <v>14</v>
      </c>
      <c r="G93" s="247"/>
      <c r="H93" s="247"/>
      <c r="J93" s="247">
        <f t="shared" si="3"/>
        <v>14</v>
      </c>
    </row>
    <row r="94" spans="1:13">
      <c r="A94" s="247">
        <f t="shared" si="2"/>
        <v>15</v>
      </c>
      <c r="B94" s="461" t="s">
        <v>795</v>
      </c>
      <c r="C94" s="551"/>
      <c r="D94" s="551"/>
      <c r="E94" s="551"/>
      <c r="F94" s="551"/>
      <c r="G94" s="504"/>
      <c r="H94" s="504"/>
      <c r="I94" s="505"/>
      <c r="J94" s="247">
        <f t="shared" si="3"/>
        <v>15</v>
      </c>
      <c r="L94" s="506"/>
    </row>
    <row r="95" spans="1:13">
      <c r="A95" s="247">
        <f t="shared" si="2"/>
        <v>16</v>
      </c>
      <c r="B95" s="466"/>
      <c r="C95" s="551"/>
      <c r="D95" s="551"/>
      <c r="E95" s="551"/>
      <c r="F95" s="551"/>
      <c r="G95" s="504"/>
      <c r="H95" s="504"/>
      <c r="I95" s="507"/>
      <c r="J95" s="247">
        <f t="shared" si="3"/>
        <v>16</v>
      </c>
      <c r="L95" s="551"/>
    </row>
    <row r="96" spans="1:13">
      <c r="A96" s="247">
        <f t="shared" si="2"/>
        <v>17</v>
      </c>
      <c r="B96" s="420" t="s">
        <v>785</v>
      </c>
      <c r="C96" s="551"/>
      <c r="D96" s="551"/>
      <c r="E96" s="551"/>
      <c r="F96" s="551"/>
      <c r="G96" s="504"/>
      <c r="H96" s="504"/>
      <c r="I96" s="507"/>
      <c r="J96" s="247">
        <f t="shared" si="3"/>
        <v>17</v>
      </c>
      <c r="L96" s="551"/>
    </row>
    <row r="97" spans="1:13">
      <c r="A97" s="247">
        <f t="shared" si="2"/>
        <v>18</v>
      </c>
      <c r="B97" s="216" t="s">
        <v>786</v>
      </c>
      <c r="D97" s="551"/>
      <c r="E97" s="551"/>
      <c r="F97" s="551"/>
      <c r="G97" s="488">
        <f>G85</f>
        <v>5.4797094444864448E-2</v>
      </c>
      <c r="H97" s="488"/>
      <c r="I97" s="481" t="str">
        <f>"Line "&amp;A85&amp;" Above"</f>
        <v>Line 6 Above</v>
      </c>
      <c r="J97" s="247">
        <f t="shared" si="3"/>
        <v>18</v>
      </c>
      <c r="L97" s="247"/>
    </row>
    <row r="98" spans="1:13">
      <c r="A98" s="247">
        <f t="shared" si="2"/>
        <v>19</v>
      </c>
      <c r="B98" s="216" t="s">
        <v>796</v>
      </c>
      <c r="D98" s="551"/>
      <c r="E98" s="551"/>
      <c r="F98" s="551"/>
      <c r="G98" s="346">
        <f>G87</f>
        <v>12090.157470000002</v>
      </c>
      <c r="H98" s="346"/>
      <c r="I98" s="481" t="str">
        <f>"Line "&amp;A87&amp;" Above"</f>
        <v>Line 8 Above</v>
      </c>
      <c r="J98" s="247">
        <f t="shared" si="3"/>
        <v>19</v>
      </c>
      <c r="L98" s="247"/>
    </row>
    <row r="99" spans="1:13">
      <c r="A99" s="247">
        <f t="shared" si="2"/>
        <v>20</v>
      </c>
      <c r="B99" s="216" t="s">
        <v>797</v>
      </c>
      <c r="D99" s="551"/>
      <c r="E99" s="551"/>
      <c r="F99" s="551"/>
      <c r="G99" s="508">
        <f>G88</f>
        <v>5362324.3945622519</v>
      </c>
      <c r="H99" s="508"/>
      <c r="I99" s="481" t="str">
        <f>"Line "&amp;A88&amp;" Above"</f>
        <v>Line 9 Above</v>
      </c>
      <c r="J99" s="247">
        <f t="shared" si="3"/>
        <v>20</v>
      </c>
      <c r="L99" s="247"/>
    </row>
    <row r="100" spans="1:13">
      <c r="A100" s="247">
        <f t="shared" si="2"/>
        <v>21</v>
      </c>
      <c r="B100" s="216" t="s">
        <v>798</v>
      </c>
      <c r="D100" s="551"/>
      <c r="E100" s="551"/>
      <c r="F100" s="551"/>
      <c r="G100" s="509">
        <f>G91</f>
        <v>1.5103153645501329E-2</v>
      </c>
      <c r="H100" s="509"/>
      <c r="I100" s="481" t="str">
        <f>"Line "&amp;A91&amp;" Above"</f>
        <v>Line 12 Above</v>
      </c>
      <c r="J100" s="247">
        <f t="shared" si="3"/>
        <v>21</v>
      </c>
    </row>
    <row r="101" spans="1:13">
      <c r="A101" s="247">
        <f t="shared" si="2"/>
        <v>22</v>
      </c>
      <c r="B101" s="216" t="s">
        <v>799</v>
      </c>
      <c r="D101" s="551"/>
      <c r="E101" s="551"/>
      <c r="F101" s="551"/>
      <c r="G101" s="1054" t="s">
        <v>800</v>
      </c>
      <c r="H101" s="551"/>
      <c r="I101" s="481" t="s">
        <v>801</v>
      </c>
      <c r="J101" s="247">
        <f t="shared" si="3"/>
        <v>22</v>
      </c>
    </row>
    <row r="102" spans="1:13">
      <c r="A102" s="247">
        <f t="shared" si="2"/>
        <v>23</v>
      </c>
      <c r="B102" s="237"/>
      <c r="D102" s="551"/>
      <c r="E102" s="551"/>
      <c r="F102" s="551"/>
      <c r="G102" s="510"/>
      <c r="H102" s="510"/>
      <c r="I102" s="507"/>
      <c r="J102" s="247">
        <f t="shared" si="3"/>
        <v>23</v>
      </c>
    </row>
    <row r="103" spans="1:13">
      <c r="A103" s="247">
        <f t="shared" si="2"/>
        <v>24</v>
      </c>
      <c r="B103" s="216" t="s">
        <v>802</v>
      </c>
      <c r="C103" s="247"/>
      <c r="D103" s="247"/>
      <c r="E103" s="551"/>
      <c r="F103" s="551"/>
      <c r="G103" s="1055">
        <f>((G97)+(G98/G99)+G91)*G101/(1-G101)</f>
        <v>6.9970303554866458E-3</v>
      </c>
      <c r="H103" s="511"/>
      <c r="I103" s="481" t="s">
        <v>803</v>
      </c>
      <c r="J103" s="247">
        <f t="shared" si="3"/>
        <v>24</v>
      </c>
    </row>
    <row r="104" spans="1:13">
      <c r="A104" s="247">
        <f t="shared" si="2"/>
        <v>25</v>
      </c>
      <c r="B104" s="503" t="s">
        <v>804</v>
      </c>
      <c r="G104" s="247"/>
      <c r="H104" s="247"/>
      <c r="I104" s="481"/>
      <c r="J104" s="247">
        <f t="shared" si="3"/>
        <v>25</v>
      </c>
      <c r="L104" s="247"/>
    </row>
    <row r="105" spans="1:13">
      <c r="A105" s="247">
        <f t="shared" si="2"/>
        <v>26</v>
      </c>
      <c r="G105" s="247"/>
      <c r="H105" s="247"/>
      <c r="I105" s="481"/>
      <c r="J105" s="247">
        <f t="shared" si="3"/>
        <v>26</v>
      </c>
      <c r="L105" s="247"/>
    </row>
    <row r="106" spans="1:13">
      <c r="A106" s="247">
        <f t="shared" si="2"/>
        <v>27</v>
      </c>
      <c r="B106" s="461" t="s">
        <v>805</v>
      </c>
      <c r="G106" s="501">
        <f>G103+G91</f>
        <v>2.2100184000987975E-2</v>
      </c>
      <c r="H106" s="501"/>
      <c r="I106" s="481" t="str">
        <f>"Line "&amp;A91&amp;" + Line "&amp;A103</f>
        <v>Line 12 + Line 24</v>
      </c>
      <c r="J106" s="247">
        <f t="shared" si="3"/>
        <v>27</v>
      </c>
      <c r="L106" s="247"/>
    </row>
    <row r="107" spans="1:13">
      <c r="A107" s="247">
        <f t="shared" si="2"/>
        <v>28</v>
      </c>
      <c r="G107" s="247"/>
      <c r="H107" s="247"/>
      <c r="I107" s="481"/>
      <c r="J107" s="247">
        <f t="shared" si="3"/>
        <v>28</v>
      </c>
      <c r="L107" s="247"/>
    </row>
    <row r="108" spans="1:13">
      <c r="A108" s="247">
        <f t="shared" si="2"/>
        <v>29</v>
      </c>
      <c r="B108" s="461" t="s">
        <v>806</v>
      </c>
      <c r="G108" s="1056">
        <f>G50</f>
        <v>7.3789796197763935E-2</v>
      </c>
      <c r="H108" s="551"/>
      <c r="I108" s="481" t="str">
        <f>"AV1; Line "&amp;A50</f>
        <v>AV1; Line 40</v>
      </c>
      <c r="J108" s="247">
        <f t="shared" si="3"/>
        <v>29</v>
      </c>
      <c r="L108" s="247"/>
    </row>
    <row r="109" spans="1:13">
      <c r="A109" s="247">
        <f t="shared" si="2"/>
        <v>30</v>
      </c>
      <c r="G109" s="488"/>
      <c r="H109" s="488"/>
      <c r="I109" s="481"/>
      <c r="J109" s="247">
        <f t="shared" si="3"/>
        <v>30</v>
      </c>
      <c r="L109" s="247"/>
    </row>
    <row r="110" spans="1:13" ht="19.5" thickBot="1">
      <c r="A110" s="247">
        <f t="shared" si="2"/>
        <v>31</v>
      </c>
      <c r="B110" s="461" t="s">
        <v>807</v>
      </c>
      <c r="G110" s="1173">
        <f>G106+G108</f>
        <v>9.5889980198751917E-2</v>
      </c>
      <c r="H110" s="511"/>
      <c r="I110" s="481" t="str">
        <f>"Line "&amp;A106&amp;" + Line "&amp;A108</f>
        <v>Line 27 + Line 29</v>
      </c>
      <c r="J110" s="247">
        <f t="shared" si="3"/>
        <v>31</v>
      </c>
      <c r="L110" s="512"/>
      <c r="M110" s="502"/>
    </row>
    <row r="111" spans="1:13" ht="16.5" thickTop="1">
      <c r="B111" s="461"/>
      <c r="G111" s="513"/>
      <c r="H111" s="513"/>
      <c r="I111" s="481"/>
      <c r="J111" s="247"/>
      <c r="L111" s="512"/>
      <c r="M111" s="502"/>
    </row>
    <row r="112" spans="1:13">
      <c r="B112" s="461"/>
      <c r="G112" s="513"/>
      <c r="H112" s="513"/>
      <c r="I112" s="481"/>
      <c r="J112" s="247"/>
      <c r="L112" s="512"/>
      <c r="M112" s="502"/>
    </row>
    <row r="113" spans="1:13" ht="18.75">
      <c r="A113" s="404">
        <v>1</v>
      </c>
      <c r="B113" s="3" t="s">
        <v>808</v>
      </c>
      <c r="G113" s="513"/>
      <c r="H113" s="513"/>
      <c r="I113" s="481"/>
      <c r="J113" s="247"/>
      <c r="L113" s="512"/>
      <c r="M113" s="502"/>
    </row>
    <row r="114" spans="1:13" ht="18.75">
      <c r="A114" s="404"/>
      <c r="B114" s="3"/>
      <c r="G114" s="513"/>
      <c r="H114" s="513"/>
      <c r="I114" s="481"/>
      <c r="J114" s="247"/>
      <c r="L114" s="512"/>
      <c r="M114" s="502"/>
    </row>
    <row r="115" spans="1:13">
      <c r="A115" s="514"/>
      <c r="B115" s="237"/>
      <c r="C115" s="515"/>
      <c r="D115" s="515"/>
      <c r="E115" s="515"/>
      <c r="F115" s="515"/>
      <c r="G115" s="516"/>
      <c r="H115" s="516"/>
      <c r="I115" s="517"/>
      <c r="J115" s="247"/>
    </row>
    <row r="116" spans="1:13">
      <c r="B116" s="1281" t="s">
        <v>0</v>
      </c>
      <c r="C116" s="1281"/>
      <c r="D116" s="1281"/>
      <c r="E116" s="1281"/>
      <c r="F116" s="1281"/>
      <c r="G116" s="1281"/>
      <c r="H116" s="1281"/>
      <c r="I116" s="1281"/>
    </row>
    <row r="117" spans="1:13">
      <c r="B117" s="1281" t="s">
        <v>739</v>
      </c>
      <c r="C117" s="1281"/>
      <c r="D117" s="1281"/>
      <c r="E117" s="1281"/>
      <c r="F117" s="1281"/>
      <c r="G117" s="1281"/>
      <c r="H117" s="1281"/>
      <c r="I117" s="1281"/>
    </row>
    <row r="118" spans="1:13">
      <c r="B118" s="1281" t="s">
        <v>740</v>
      </c>
      <c r="C118" s="1281"/>
      <c r="D118" s="1281"/>
      <c r="E118" s="1281"/>
      <c r="F118" s="1281"/>
      <c r="G118" s="1281"/>
      <c r="H118" s="1281"/>
      <c r="I118" s="1281"/>
    </row>
    <row r="119" spans="1:13">
      <c r="B119" s="1283" t="str">
        <f>B5</f>
        <v>Base Period &amp; True-Up Period 12 - Months Ending December 31, 2024</v>
      </c>
      <c r="C119" s="1283"/>
      <c r="D119" s="1283"/>
      <c r="E119" s="1283"/>
      <c r="F119" s="1283"/>
      <c r="G119" s="1283"/>
      <c r="H119" s="1283"/>
      <c r="I119" s="1283"/>
    </row>
    <row r="120" spans="1:13">
      <c r="B120" s="1279" t="s">
        <v>3</v>
      </c>
      <c r="C120" s="1293"/>
      <c r="D120" s="1293"/>
      <c r="E120" s="1293"/>
      <c r="F120" s="1293"/>
      <c r="G120" s="1293"/>
      <c r="H120" s="1293"/>
      <c r="I120" s="1293"/>
    </row>
    <row r="122" spans="1:13">
      <c r="A122" s="247" t="s">
        <v>4</v>
      </c>
      <c r="B122" s="551"/>
      <c r="C122" s="551"/>
      <c r="D122" s="551"/>
      <c r="E122" s="551"/>
      <c r="F122" s="551"/>
      <c r="G122" s="551"/>
      <c r="H122" s="551"/>
      <c r="I122" s="481"/>
      <c r="J122" s="247" t="s">
        <v>4</v>
      </c>
    </row>
    <row r="123" spans="1:13">
      <c r="A123" s="247" t="s">
        <v>5</v>
      </c>
      <c r="B123" s="247"/>
      <c r="C123" s="247"/>
      <c r="D123" s="247"/>
      <c r="E123" s="247"/>
      <c r="F123" s="247"/>
      <c r="G123" s="994" t="s">
        <v>7</v>
      </c>
      <c r="H123" s="551"/>
      <c r="I123" s="1046" t="s">
        <v>8</v>
      </c>
      <c r="J123" s="247" t="s">
        <v>5</v>
      </c>
    </row>
    <row r="125" spans="1:13" ht="18.75">
      <c r="A125" s="247">
        <v>1</v>
      </c>
      <c r="B125" s="461" t="s">
        <v>809</v>
      </c>
      <c r="J125" s="247">
        <v>1</v>
      </c>
    </row>
    <row r="126" spans="1:13">
      <c r="A126" s="247">
        <f>A125+1</f>
        <v>2</v>
      </c>
      <c r="B126" s="493"/>
      <c r="J126" s="247">
        <f>J125+1</f>
        <v>2</v>
      </c>
    </row>
    <row r="127" spans="1:13">
      <c r="A127" s="247">
        <f>A126+1</f>
        <v>3</v>
      </c>
      <c r="B127" s="461" t="s">
        <v>784</v>
      </c>
      <c r="J127" s="247">
        <f>J126+1</f>
        <v>3</v>
      </c>
    </row>
    <row r="128" spans="1:13">
      <c r="A128" s="247">
        <f>A127+1</f>
        <v>4</v>
      </c>
      <c r="B128" s="551"/>
      <c r="J128" s="247">
        <f>J127+1</f>
        <v>4</v>
      </c>
    </row>
    <row r="129" spans="1:10">
      <c r="A129" s="247">
        <f t="shared" ref="A129:A155" si="4">A128+1</f>
        <v>5</v>
      </c>
      <c r="B129" s="420" t="s">
        <v>785</v>
      </c>
      <c r="J129" s="247">
        <f t="shared" ref="J129:J155" si="5">J128+1</f>
        <v>5</v>
      </c>
    </row>
    <row r="130" spans="1:10">
      <c r="A130" s="247">
        <f t="shared" si="4"/>
        <v>6</v>
      </c>
      <c r="B130" s="216" t="str">
        <f>B85</f>
        <v xml:space="preserve">     A = Sum of Preferred Stock and Return on Equity Component</v>
      </c>
      <c r="G130" s="495">
        <f>G65</f>
        <v>0</v>
      </c>
      <c r="I130" s="481" t="str">
        <f>"AV1; Line "&amp;A65</f>
        <v>AV1; Line 55</v>
      </c>
      <c r="J130" s="247">
        <f t="shared" si="5"/>
        <v>6</v>
      </c>
    </row>
    <row r="131" spans="1:10">
      <c r="A131" s="247">
        <f t="shared" si="4"/>
        <v>7</v>
      </c>
      <c r="B131" s="216" t="str">
        <f>B86</f>
        <v xml:space="preserve">     B = Transmission Total Federal Tax Adjustments</v>
      </c>
      <c r="G131" s="880">
        <v>0</v>
      </c>
      <c r="I131" s="480" t="s">
        <v>306</v>
      </c>
      <c r="J131" s="247">
        <f t="shared" si="5"/>
        <v>7</v>
      </c>
    </row>
    <row r="132" spans="1:10">
      <c r="A132" s="247">
        <f t="shared" si="4"/>
        <v>8</v>
      </c>
      <c r="B132" s="216" t="s">
        <v>810</v>
      </c>
      <c r="G132" s="894">
        <v>0</v>
      </c>
      <c r="I132" s="480" t="s">
        <v>306</v>
      </c>
      <c r="J132" s="247">
        <f t="shared" si="5"/>
        <v>8</v>
      </c>
    </row>
    <row r="133" spans="1:10">
      <c r="A133" s="247">
        <f t="shared" si="4"/>
        <v>9</v>
      </c>
      <c r="B133" s="216" t="s">
        <v>811</v>
      </c>
      <c r="G133" s="894">
        <v>0</v>
      </c>
      <c r="I133" s="480" t="s">
        <v>306</v>
      </c>
      <c r="J133" s="247">
        <f t="shared" si="5"/>
        <v>9</v>
      </c>
    </row>
    <row r="134" spans="1:10">
      <c r="A134" s="247">
        <f t="shared" si="4"/>
        <v>10</v>
      </c>
      <c r="B134" s="216" t="str">
        <f>B89</f>
        <v xml:space="preserve">     FT = Federal Income Tax Rate for Rate Effective Period</v>
      </c>
      <c r="G134" s="1057">
        <f>G89</f>
        <v>0.21</v>
      </c>
      <c r="I134" s="481" t="str">
        <f>"AV2; Line "&amp;A89</f>
        <v>AV2; Line 10</v>
      </c>
      <c r="J134" s="247">
        <f t="shared" si="5"/>
        <v>10</v>
      </c>
    </row>
    <row r="135" spans="1:10">
      <c r="A135" s="247">
        <f t="shared" si="4"/>
        <v>11</v>
      </c>
      <c r="G135" s="247"/>
      <c r="J135" s="247">
        <f t="shared" si="5"/>
        <v>11</v>
      </c>
    </row>
    <row r="136" spans="1:10">
      <c r="A136" s="247">
        <f t="shared" si="4"/>
        <v>12</v>
      </c>
      <c r="B136" s="216" t="s">
        <v>812</v>
      </c>
      <c r="G136" s="501">
        <f>IFERROR((((G130)+(G132/G133))*G134-(G131/G133))/(1-G134),0)</f>
        <v>0</v>
      </c>
      <c r="I136" s="481" t="s">
        <v>813</v>
      </c>
      <c r="J136" s="247">
        <f t="shared" si="5"/>
        <v>12</v>
      </c>
    </row>
    <row r="137" spans="1:10">
      <c r="A137" s="247">
        <f t="shared" si="4"/>
        <v>13</v>
      </c>
      <c r="B137" s="503" t="s">
        <v>794</v>
      </c>
      <c r="G137" s="881"/>
      <c r="J137" s="247">
        <f t="shared" si="5"/>
        <v>13</v>
      </c>
    </row>
    <row r="138" spans="1:10">
      <c r="A138" s="247">
        <f t="shared" si="4"/>
        <v>14</v>
      </c>
      <c r="G138" s="247"/>
      <c r="J138" s="247">
        <f t="shared" si="5"/>
        <v>14</v>
      </c>
    </row>
    <row r="139" spans="1:10">
      <c r="A139" s="247">
        <f t="shared" si="4"/>
        <v>15</v>
      </c>
      <c r="B139" s="461" t="s">
        <v>795</v>
      </c>
      <c r="G139" s="504"/>
      <c r="I139" s="505"/>
      <c r="J139" s="247">
        <f t="shared" si="5"/>
        <v>15</v>
      </c>
    </row>
    <row r="140" spans="1:10">
      <c r="A140" s="247">
        <f t="shared" si="4"/>
        <v>16</v>
      </c>
      <c r="B140" s="466"/>
      <c r="G140" s="504"/>
      <c r="I140" s="494"/>
      <c r="J140" s="247">
        <f t="shared" si="5"/>
        <v>16</v>
      </c>
    </row>
    <row r="141" spans="1:10">
      <c r="A141" s="247">
        <f t="shared" si="4"/>
        <v>17</v>
      </c>
      <c r="B141" s="420" t="s">
        <v>785</v>
      </c>
      <c r="G141" s="504"/>
      <c r="I141" s="494"/>
      <c r="J141" s="247">
        <f t="shared" si="5"/>
        <v>17</v>
      </c>
    </row>
    <row r="142" spans="1:10">
      <c r="A142" s="247">
        <f t="shared" si="4"/>
        <v>18</v>
      </c>
      <c r="B142" s="216" t="str">
        <f>B97</f>
        <v xml:space="preserve">     A = Sum of Preferred Stock and Return on Equity Component</v>
      </c>
      <c r="G142" s="488">
        <f>G130</f>
        <v>0</v>
      </c>
      <c r="I142" s="481" t="str">
        <f>"Line "&amp;A130&amp;" Above"</f>
        <v>Line 6 Above</v>
      </c>
      <c r="J142" s="247">
        <f t="shared" si="5"/>
        <v>18</v>
      </c>
    </row>
    <row r="143" spans="1:10">
      <c r="A143" s="247">
        <f t="shared" si="4"/>
        <v>19</v>
      </c>
      <c r="B143" s="216" t="str">
        <f>B98</f>
        <v xml:space="preserve">     B = Equity AFUDC Component of Transmission Depreciation Expense</v>
      </c>
      <c r="G143" s="346">
        <f>G132</f>
        <v>0</v>
      </c>
      <c r="I143" s="481" t="str">
        <f>"Line "&amp;A132&amp;" Above"</f>
        <v>Line 8 Above</v>
      </c>
      <c r="J143" s="247">
        <f t="shared" si="5"/>
        <v>19</v>
      </c>
    </row>
    <row r="144" spans="1:10">
      <c r="A144" s="247">
        <f t="shared" si="4"/>
        <v>20</v>
      </c>
      <c r="B144" s="216" t="s">
        <v>814</v>
      </c>
      <c r="G144" s="346">
        <f>G133</f>
        <v>0</v>
      </c>
      <c r="I144" s="481" t="str">
        <f>"Line "&amp;A133&amp;" Above"</f>
        <v>Line 9 Above</v>
      </c>
      <c r="J144" s="247">
        <f t="shared" si="5"/>
        <v>20</v>
      </c>
    </row>
    <row r="145" spans="1:10">
      <c r="A145" s="247">
        <f t="shared" si="4"/>
        <v>21</v>
      </c>
      <c r="B145" s="216" t="str">
        <f>B100</f>
        <v xml:space="preserve">     FT = Federal Income Tax Expense</v>
      </c>
      <c r="G145" s="509">
        <f>G136</f>
        <v>0</v>
      </c>
      <c r="I145" s="481" t="str">
        <f>"Line "&amp;A136&amp;" Above"</f>
        <v>Line 12 Above</v>
      </c>
      <c r="J145" s="247">
        <f t="shared" si="5"/>
        <v>21</v>
      </c>
    </row>
    <row r="146" spans="1:10">
      <c r="A146" s="247">
        <f t="shared" si="4"/>
        <v>22</v>
      </c>
      <c r="B146" s="216" t="str">
        <f>B101</f>
        <v xml:space="preserve">     ST = State Income Tax Rate for Rate Effective Period</v>
      </c>
      <c r="G146" s="1058" t="str">
        <f>G101</f>
        <v>8.84%</v>
      </c>
      <c r="I146" s="481" t="str">
        <f>"AV2; Line "&amp;A101</f>
        <v>AV2; Line 22</v>
      </c>
      <c r="J146" s="247">
        <f t="shared" si="5"/>
        <v>22</v>
      </c>
    </row>
    <row r="147" spans="1:10">
      <c r="A147" s="247">
        <f t="shared" si="4"/>
        <v>23</v>
      </c>
      <c r="B147" s="237"/>
      <c r="G147" s="510"/>
      <c r="I147" s="507"/>
      <c r="J147" s="247">
        <f t="shared" si="5"/>
        <v>23</v>
      </c>
    </row>
    <row r="148" spans="1:10">
      <c r="A148" s="247">
        <f t="shared" si="4"/>
        <v>24</v>
      </c>
      <c r="B148" s="216" t="s">
        <v>802</v>
      </c>
      <c r="G148" s="1055">
        <f>IFERROR(((G142)+(G143/G144)+G136)*G146/(1-G146),0)</f>
        <v>0</v>
      </c>
      <c r="I148" s="481" t="s">
        <v>803</v>
      </c>
      <c r="J148" s="247">
        <f t="shared" si="5"/>
        <v>24</v>
      </c>
    </row>
    <row r="149" spans="1:10">
      <c r="A149" s="247">
        <f t="shared" si="4"/>
        <v>25</v>
      </c>
      <c r="B149" s="503" t="s">
        <v>804</v>
      </c>
      <c r="G149" s="247"/>
      <c r="I149" s="481"/>
      <c r="J149" s="247">
        <f t="shared" si="5"/>
        <v>25</v>
      </c>
    </row>
    <row r="150" spans="1:10">
      <c r="A150" s="247">
        <f t="shared" si="4"/>
        <v>26</v>
      </c>
      <c r="G150" s="247"/>
      <c r="I150" s="481"/>
      <c r="J150" s="247">
        <f t="shared" si="5"/>
        <v>26</v>
      </c>
    </row>
    <row r="151" spans="1:10">
      <c r="A151" s="247">
        <f t="shared" si="4"/>
        <v>27</v>
      </c>
      <c r="B151" s="461" t="s">
        <v>805</v>
      </c>
      <c r="G151" s="501">
        <f>G148+G136</f>
        <v>0</v>
      </c>
      <c r="I151" s="481" t="str">
        <f>"Line "&amp;A136&amp;" + Line "&amp;A148</f>
        <v>Line 12 + Line 24</v>
      </c>
      <c r="J151" s="247">
        <f t="shared" si="5"/>
        <v>27</v>
      </c>
    </row>
    <row r="152" spans="1:10">
      <c r="A152" s="247">
        <f t="shared" si="4"/>
        <v>28</v>
      </c>
      <c r="G152" s="247"/>
      <c r="I152" s="481"/>
      <c r="J152" s="247">
        <f t="shared" si="5"/>
        <v>28</v>
      </c>
    </row>
    <row r="153" spans="1:10">
      <c r="A153" s="247">
        <f t="shared" si="4"/>
        <v>29</v>
      </c>
      <c r="B153" s="461" t="s">
        <v>815</v>
      </c>
      <c r="G153" s="1059">
        <f>G63</f>
        <v>0</v>
      </c>
      <c r="I153" s="481" t="str">
        <f>"AV1; Line "&amp;A63</f>
        <v>AV1; Line 53</v>
      </c>
      <c r="J153" s="247">
        <f t="shared" si="5"/>
        <v>29</v>
      </c>
    </row>
    <row r="154" spans="1:10">
      <c r="A154" s="247">
        <f t="shared" si="4"/>
        <v>30</v>
      </c>
      <c r="G154" s="247"/>
      <c r="I154" s="481"/>
      <c r="J154" s="247">
        <f t="shared" si="5"/>
        <v>30</v>
      </c>
    </row>
    <row r="155" spans="1:10" ht="19.5" thickBot="1">
      <c r="A155" s="247">
        <f t="shared" si="4"/>
        <v>31</v>
      </c>
      <c r="B155" s="461" t="s">
        <v>816</v>
      </c>
      <c r="G155" s="1174">
        <f>G151+G153</f>
        <v>0</v>
      </c>
      <c r="I155" s="481" t="str">
        <f>"Line "&amp;A151&amp;" + Line "&amp;A153</f>
        <v>Line 27 + Line 29</v>
      </c>
      <c r="J155" s="247">
        <f t="shared" si="5"/>
        <v>31</v>
      </c>
    </row>
    <row r="156" spans="1:10" ht="16.5" thickTop="1"/>
    <row r="158" spans="1:10" ht="18.75">
      <c r="A158" s="477"/>
      <c r="B158" s="3"/>
    </row>
  </sheetData>
  <mergeCells count="15">
    <mergeCell ref="B116:I116"/>
    <mergeCell ref="B117:I117"/>
    <mergeCell ref="B118:I118"/>
    <mergeCell ref="B119:I119"/>
    <mergeCell ref="B120:I120"/>
    <mergeCell ref="B71:I71"/>
    <mergeCell ref="B72:I72"/>
    <mergeCell ref="B73:I73"/>
    <mergeCell ref="B74:I74"/>
    <mergeCell ref="B75:I75"/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6" fitToHeight="0" orientation="portrait" r:id="rId1"/>
  <headerFooter scaleWithDoc="0">
    <oddFooter>&amp;C&amp;"Times New Roman,Regular"&amp;10AV&amp;P</oddFooter>
  </headerFooter>
  <rowBreaks count="2" manualBreakCount="2">
    <brk id="69" max="9" man="1"/>
    <brk id="114" max="9" man="1"/>
  </rowBreaks>
  <colBreaks count="1" manualBreakCount="1">
    <brk id="10" max="1048575" man="1"/>
  </colBreaks>
  <customProperties>
    <customPr name="_pios_id" r:id="rId2"/>
  </customProperties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2:D41"/>
  <sheetViews>
    <sheetView zoomScale="80" zoomScaleNormal="80" zoomScalePageLayoutView="80" workbookViewId="0">
      <selection activeCell="H29" sqref="H29"/>
    </sheetView>
  </sheetViews>
  <sheetFormatPr defaultColWidth="8.5703125" defaultRowHeight="15.75"/>
  <cols>
    <col min="1" max="1" width="5.140625" style="4" customWidth="1"/>
    <col min="2" max="2" width="62.42578125" style="3" customWidth="1"/>
    <col min="3" max="3" width="35.5703125" style="3" customWidth="1"/>
    <col min="4" max="4" width="5.140625" style="4" customWidth="1"/>
    <col min="5" max="16384" width="8.5703125" style="3"/>
  </cols>
  <sheetData>
    <row r="2" spans="1:4" ht="15.75" customHeight="1">
      <c r="B2" s="1306" t="s">
        <v>0</v>
      </c>
      <c r="C2" s="1306"/>
    </row>
    <row r="3" spans="1:4" ht="15.75" customHeight="1">
      <c r="B3" s="1281" t="s">
        <v>817</v>
      </c>
      <c r="C3" s="1281"/>
    </row>
    <row r="4" spans="1:4" ht="15.75" customHeight="1">
      <c r="B4" s="1306" t="str">
        <f>"For Completed Transmission Capital Projects from 2001 Through "&amp;Automation!B3</f>
        <v>For Completed Transmission Capital Projects from 2001 Through 2024</v>
      </c>
      <c r="C4" s="1306"/>
    </row>
    <row r="5" spans="1:4">
      <c r="B5" s="1281" t="str">
        <f>"Applicable to the "&amp;Automation!B3&amp;" Cycle "&amp;Automation!B2&amp;" Base Period &amp; True-Up Period"</f>
        <v>Applicable to the 2024 Cycle 8 Base Period &amp; True-Up Period</v>
      </c>
      <c r="C5" s="1281"/>
      <c r="D5" s="247"/>
    </row>
    <row r="6" spans="1:4" ht="15.75" customHeight="1">
      <c r="B6" s="1306" t="str">
        <f>" 12 Months Ending December 31, "&amp;Automation!$B$3</f>
        <v xml:space="preserve"> 12 Months Ending December 31, 2024</v>
      </c>
      <c r="C6" s="1306"/>
    </row>
    <row r="7" spans="1:4" ht="17.850000000000001" customHeight="1">
      <c r="B7" s="1305">
        <v>-1000</v>
      </c>
      <c r="C7" s="1305"/>
      <c r="D7" s="5"/>
    </row>
    <row r="8" spans="1:4" ht="17.850000000000001" customHeight="1" thickBot="1">
      <c r="B8" s="1089"/>
      <c r="C8" s="1089"/>
      <c r="D8" s="5"/>
    </row>
    <row r="9" spans="1:4" ht="17.850000000000001" customHeight="1">
      <c r="B9" s="554"/>
      <c r="C9" s="556" t="s">
        <v>818</v>
      </c>
      <c r="D9" s="5"/>
    </row>
    <row r="10" spans="1:4" ht="17.850000000000001" customHeight="1">
      <c r="A10" s="770" t="s">
        <v>4</v>
      </c>
      <c r="B10" s="555"/>
      <c r="C10" s="1060" t="s">
        <v>819</v>
      </c>
      <c r="D10" s="770" t="s">
        <v>4</v>
      </c>
    </row>
    <row r="11" spans="1:4" ht="19.5" thickBot="1">
      <c r="A11" s="771" t="s">
        <v>5</v>
      </c>
      <c r="B11" s="1061" t="s">
        <v>820</v>
      </c>
      <c r="C11" s="553" t="s">
        <v>821</v>
      </c>
      <c r="D11" s="772" t="s">
        <v>5</v>
      </c>
    </row>
    <row r="12" spans="1:4">
      <c r="A12" s="3"/>
      <c r="B12" s="552"/>
      <c r="C12" s="519"/>
      <c r="D12" s="3"/>
    </row>
    <row r="13" spans="1:4">
      <c r="A13" s="773">
        <v>1</v>
      </c>
      <c r="B13" s="6" t="s">
        <v>1039</v>
      </c>
      <c r="C13" s="984">
        <v>1263.87725</v>
      </c>
      <c r="D13" s="774">
        <f>A13</f>
        <v>1</v>
      </c>
    </row>
    <row r="14" spans="1:4">
      <c r="A14" s="250">
        <f>A13+1</f>
        <v>2</v>
      </c>
      <c r="B14" s="6"/>
      <c r="C14" s="1062"/>
      <c r="D14" s="277">
        <f>D13+1</f>
        <v>2</v>
      </c>
    </row>
    <row r="15" spans="1:4">
      <c r="A15" s="250">
        <f t="shared" ref="A15:A31" si="0">A14+1</f>
        <v>3</v>
      </c>
      <c r="B15" s="6" t="s">
        <v>1040</v>
      </c>
      <c r="C15" s="904">
        <v>7507.3277900000003</v>
      </c>
      <c r="D15" s="277">
        <f t="shared" ref="D15:D31" si="1">D14+1</f>
        <v>3</v>
      </c>
    </row>
    <row r="16" spans="1:4">
      <c r="A16" s="250">
        <f t="shared" si="0"/>
        <v>4</v>
      </c>
      <c r="B16" s="6"/>
      <c r="C16" s="1063"/>
      <c r="D16" s="277">
        <f t="shared" si="1"/>
        <v>4</v>
      </c>
    </row>
    <row r="17" spans="1:4" ht="16.5" thickBot="1">
      <c r="A17" s="250">
        <f t="shared" si="0"/>
        <v>5</v>
      </c>
      <c r="B17" s="1064">
        <v>2021</v>
      </c>
      <c r="C17" s="663">
        <v>1024.76973</v>
      </c>
      <c r="D17" s="277">
        <f t="shared" si="1"/>
        <v>5</v>
      </c>
    </row>
    <row r="18" spans="1:4">
      <c r="A18" s="250">
        <f t="shared" si="0"/>
        <v>6</v>
      </c>
      <c r="B18" s="1065"/>
      <c r="C18" s="535"/>
      <c r="D18" s="277">
        <f t="shared" si="1"/>
        <v>6</v>
      </c>
    </row>
    <row r="19" spans="1:4">
      <c r="A19" s="250">
        <f t="shared" si="0"/>
        <v>7</v>
      </c>
      <c r="B19" s="1265">
        <v>2022</v>
      </c>
      <c r="C19" s="1266">
        <v>1011.24193</v>
      </c>
      <c r="D19" s="277">
        <f t="shared" si="1"/>
        <v>7</v>
      </c>
    </row>
    <row r="20" spans="1:4">
      <c r="A20" s="250">
        <f t="shared" si="0"/>
        <v>8</v>
      </c>
      <c r="B20" s="905"/>
      <c r="C20" s="906"/>
      <c r="D20" s="277">
        <f t="shared" si="1"/>
        <v>8</v>
      </c>
    </row>
    <row r="21" spans="1:4">
      <c r="A21" s="250">
        <f t="shared" si="0"/>
        <v>9</v>
      </c>
      <c r="B21" s="905">
        <v>2023</v>
      </c>
      <c r="C21" s="906">
        <v>1051.7708500000001</v>
      </c>
      <c r="D21" s="277">
        <f t="shared" si="1"/>
        <v>9</v>
      </c>
    </row>
    <row r="22" spans="1:4">
      <c r="A22" s="250">
        <f t="shared" si="0"/>
        <v>10</v>
      </c>
      <c r="B22" s="905"/>
      <c r="C22" s="906"/>
      <c r="D22" s="277">
        <f t="shared" si="1"/>
        <v>10</v>
      </c>
    </row>
    <row r="23" spans="1:4">
      <c r="A23" s="250">
        <f t="shared" si="0"/>
        <v>11</v>
      </c>
      <c r="B23" s="905">
        <v>2024</v>
      </c>
      <c r="C23" s="906">
        <v>231.16991999999999</v>
      </c>
      <c r="D23" s="277">
        <f t="shared" si="1"/>
        <v>11</v>
      </c>
    </row>
    <row r="24" spans="1:4">
      <c r="A24" s="250">
        <f t="shared" si="0"/>
        <v>12</v>
      </c>
      <c r="B24" s="6"/>
      <c r="C24" s="1066"/>
      <c r="D24" s="277">
        <f t="shared" si="1"/>
        <v>12</v>
      </c>
    </row>
    <row r="25" spans="1:4">
      <c r="A25" s="250">
        <f t="shared" si="0"/>
        <v>13</v>
      </c>
      <c r="B25" s="6"/>
      <c r="C25" s="1067"/>
      <c r="D25" s="277">
        <f t="shared" si="1"/>
        <v>13</v>
      </c>
    </row>
    <row r="26" spans="1:4">
      <c r="A26" s="250">
        <f t="shared" si="0"/>
        <v>14</v>
      </c>
      <c r="B26" s="6" t="s">
        <v>80</v>
      </c>
      <c r="C26" s="1068">
        <f>SUM(C13:C25)</f>
        <v>12090.157470000002</v>
      </c>
      <c r="D26" s="277">
        <f t="shared" si="1"/>
        <v>14</v>
      </c>
    </row>
    <row r="27" spans="1:4">
      <c r="A27" s="250">
        <f t="shared" si="0"/>
        <v>15</v>
      </c>
      <c r="B27" s="6"/>
      <c r="C27" s="1068"/>
      <c r="D27" s="277">
        <f t="shared" si="1"/>
        <v>15</v>
      </c>
    </row>
    <row r="28" spans="1:4">
      <c r="A28" s="250">
        <f t="shared" si="0"/>
        <v>16</v>
      </c>
      <c r="B28" s="6" t="s">
        <v>822</v>
      </c>
      <c r="C28" s="1069">
        <f>-'AV-2B'!C19</f>
        <v>-56.027447560000006</v>
      </c>
      <c r="D28" s="277">
        <f t="shared" si="1"/>
        <v>16</v>
      </c>
    </row>
    <row r="29" spans="1:4">
      <c r="A29" s="250">
        <f t="shared" si="0"/>
        <v>17</v>
      </c>
      <c r="B29" s="6"/>
      <c r="C29" s="1068"/>
      <c r="D29" s="277">
        <f t="shared" si="1"/>
        <v>17</v>
      </c>
    </row>
    <row r="30" spans="1:4" ht="32.25" thickBot="1">
      <c r="A30" s="250">
        <f t="shared" si="0"/>
        <v>18</v>
      </c>
      <c r="B30" s="775" t="s">
        <v>823</v>
      </c>
      <c r="C30" s="776">
        <f>SUM(C26:C28)</f>
        <v>12034.130022440002</v>
      </c>
      <c r="D30" s="277">
        <f t="shared" si="1"/>
        <v>18</v>
      </c>
    </row>
    <row r="31" spans="1:4" ht="17.25" thickTop="1" thickBot="1">
      <c r="A31" s="250">
        <f t="shared" si="0"/>
        <v>19</v>
      </c>
      <c r="B31" s="1070"/>
      <c r="C31" s="777"/>
      <c r="D31" s="277">
        <f t="shared" si="1"/>
        <v>19</v>
      </c>
    </row>
    <row r="34" spans="1:2" ht="18.75">
      <c r="A34" s="404">
        <v>1</v>
      </c>
      <c r="B34" s="6" t="s">
        <v>1012</v>
      </c>
    </row>
    <row r="35" spans="1:2" ht="18.75">
      <c r="A35" s="404"/>
      <c r="B35" s="3" t="s">
        <v>1013</v>
      </c>
    </row>
    <row r="36" spans="1:2" ht="18.75">
      <c r="A36" s="404"/>
      <c r="B36" s="6"/>
    </row>
    <row r="37" spans="1:2">
      <c r="A37" s="3"/>
      <c r="B37" s="6"/>
    </row>
    <row r="38" spans="1:2">
      <c r="A38" s="3"/>
    </row>
    <row r="39" spans="1:2">
      <c r="A39" s="3"/>
    </row>
    <row r="41" spans="1:2" ht="18.75">
      <c r="A41" s="67"/>
    </row>
  </sheetData>
  <mergeCells count="6">
    <mergeCell ref="B7:C7"/>
    <mergeCell ref="B2:C2"/>
    <mergeCell ref="B3:C3"/>
    <mergeCell ref="B4:C4"/>
    <mergeCell ref="B5:C5"/>
    <mergeCell ref="B6:C6"/>
  </mergeCells>
  <printOptions horizontalCentered="1"/>
  <pageMargins left="0.5" right="0.5" top="0.5" bottom="0.5" header="0.25" footer="0.25"/>
  <pageSetup scale="88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E28"/>
  <sheetViews>
    <sheetView zoomScale="80" zoomScaleNormal="80" zoomScalePageLayoutView="80" workbookViewId="0">
      <selection activeCell="C28" sqref="C28"/>
    </sheetView>
  </sheetViews>
  <sheetFormatPr defaultColWidth="8.5703125" defaultRowHeight="15.75"/>
  <cols>
    <col min="1" max="1" width="5.140625" style="216" bestFit="1" customWidth="1"/>
    <col min="2" max="2" width="83.140625" style="216" bestFit="1" customWidth="1"/>
    <col min="3" max="3" width="18.5703125" style="216" customWidth="1"/>
    <col min="4" max="4" width="34.5703125" style="216" customWidth="1"/>
    <col min="5" max="5" width="5.140625" style="247" bestFit="1" customWidth="1"/>
    <col min="6" max="16384" width="8.5703125" style="216"/>
  </cols>
  <sheetData>
    <row r="1" spans="1:5">
      <c r="A1" s="247"/>
    </row>
    <row r="2" spans="1:5">
      <c r="B2" s="1281" t="s">
        <v>0</v>
      </c>
      <c r="C2" s="1281"/>
      <c r="D2" s="1281"/>
      <c r="E2" s="551"/>
    </row>
    <row r="3" spans="1:5">
      <c r="B3" s="1281" t="str">
        <f>"TO"&amp;Automation!$B$1&amp;"-Cycle "&amp;Automation!$B$2&amp;" Annual Transmission Formula Filing"</f>
        <v>TO6-Cycle 8 Annual Transmission Formula Filing</v>
      </c>
      <c r="C3" s="1281"/>
      <c r="D3" s="1281"/>
      <c r="E3" s="551"/>
    </row>
    <row r="4" spans="1:5">
      <c r="B4" s="1281" t="s">
        <v>824</v>
      </c>
      <c r="C4" s="1281"/>
      <c r="D4" s="1281"/>
      <c r="E4" s="551"/>
    </row>
    <row r="5" spans="1:5">
      <c r="B5" s="1281" t="str">
        <f>" 12 Months Ending December 31, "&amp;Automation!$B$3</f>
        <v xml:space="preserve"> 12 Months Ending December 31, 2024</v>
      </c>
      <c r="C5" s="1281"/>
      <c r="D5" s="1281"/>
    </row>
    <row r="6" spans="1:5">
      <c r="B6" s="1307">
        <v>-1000</v>
      </c>
      <c r="C6" s="1307"/>
      <c r="D6" s="1307"/>
      <c r="E6" s="393"/>
    </row>
    <row r="7" spans="1:5" ht="16.5" thickBot="1">
      <c r="A7" s="247"/>
      <c r="C7" s="247"/>
    </row>
    <row r="8" spans="1:5">
      <c r="A8" s="247" t="s">
        <v>4</v>
      </c>
      <c r="B8" s="778"/>
      <c r="C8" s="779"/>
      <c r="D8" s="780"/>
      <c r="E8" s="247" t="s">
        <v>4</v>
      </c>
    </row>
    <row r="9" spans="1:5" ht="16.5" thickBot="1">
      <c r="A9" s="247" t="s">
        <v>5</v>
      </c>
      <c r="B9" s="781" t="s">
        <v>261</v>
      </c>
      <c r="C9" s="782" t="s">
        <v>7</v>
      </c>
      <c r="D9" s="783" t="s">
        <v>8</v>
      </c>
      <c r="E9" s="247" t="s">
        <v>5</v>
      </c>
    </row>
    <row r="10" spans="1:5">
      <c r="A10" s="551"/>
      <c r="B10" s="784"/>
      <c r="C10" s="249"/>
      <c r="D10" s="1071"/>
      <c r="E10" s="551"/>
    </row>
    <row r="11" spans="1:5">
      <c r="A11" s="247">
        <v>1</v>
      </c>
      <c r="B11" s="785" t="s">
        <v>825</v>
      </c>
      <c r="C11" s="176">
        <v>2282.4870000000001</v>
      </c>
      <c r="D11" s="272"/>
      <c r="E11" s="247">
        <f>A11</f>
        <v>1</v>
      </c>
    </row>
    <row r="12" spans="1:5">
      <c r="A12" s="247">
        <f>A11+1</f>
        <v>2</v>
      </c>
      <c r="B12" s="785"/>
      <c r="C12" s="176"/>
      <c r="D12" s="272"/>
      <c r="E12" s="247">
        <f>E11+1</f>
        <v>2</v>
      </c>
    </row>
    <row r="13" spans="1:5">
      <c r="A13" s="247">
        <f t="shared" ref="A13:A28" si="0">A12+1</f>
        <v>3</v>
      </c>
      <c r="B13" s="785" t="s">
        <v>826</v>
      </c>
      <c r="C13" s="1072">
        <v>0.73640000000000005</v>
      </c>
      <c r="D13" s="272"/>
      <c r="E13" s="247">
        <f t="shared" ref="E13:E28" si="1">E12+1</f>
        <v>3</v>
      </c>
    </row>
    <row r="14" spans="1:5">
      <c r="A14" s="247">
        <f t="shared" si="0"/>
        <v>4</v>
      </c>
      <c r="B14" s="785"/>
      <c r="C14" s="786"/>
      <c r="D14" s="272"/>
      <c r="E14" s="247">
        <f t="shared" si="1"/>
        <v>4</v>
      </c>
    </row>
    <row r="15" spans="1:5">
      <c r="A15" s="247">
        <f t="shared" si="0"/>
        <v>5</v>
      </c>
      <c r="B15" s="785" t="s">
        <v>895</v>
      </c>
      <c r="C15" s="177">
        <f>C11*C13</f>
        <v>1680.8234268000001</v>
      </c>
      <c r="D15" s="250" t="str">
        <f>"Line "&amp;A11&amp;" x Line "&amp;A13</f>
        <v>Line 1 x Line 3</v>
      </c>
      <c r="E15" s="247">
        <f t="shared" si="1"/>
        <v>5</v>
      </c>
    </row>
    <row r="16" spans="1:5">
      <c r="A16" s="247">
        <f t="shared" si="0"/>
        <v>6</v>
      </c>
      <c r="B16" s="785"/>
      <c r="C16" s="787"/>
      <c r="D16" s="250"/>
      <c r="E16" s="247">
        <f t="shared" si="1"/>
        <v>6</v>
      </c>
    </row>
    <row r="17" spans="1:5">
      <c r="A17" s="247">
        <f t="shared" si="0"/>
        <v>7</v>
      </c>
      <c r="B17" s="785" t="s">
        <v>827</v>
      </c>
      <c r="C17" s="1073">
        <f>1/30</f>
        <v>3.3333333333333333E-2</v>
      </c>
      <c r="D17" s="250" t="s">
        <v>828</v>
      </c>
      <c r="E17" s="247">
        <f t="shared" si="1"/>
        <v>7</v>
      </c>
    </row>
    <row r="18" spans="1:5">
      <c r="A18" s="247">
        <f t="shared" si="0"/>
        <v>8</v>
      </c>
      <c r="B18" s="785"/>
      <c r="C18" s="788"/>
      <c r="D18" s="250"/>
      <c r="E18" s="247">
        <f t="shared" si="1"/>
        <v>8</v>
      </c>
    </row>
    <row r="19" spans="1:5" ht="16.5" thickBot="1">
      <c r="A19" s="247">
        <f t="shared" si="0"/>
        <v>9</v>
      </c>
      <c r="B19" s="789" t="s">
        <v>829</v>
      </c>
      <c r="C19" s="312">
        <f>C15*C17</f>
        <v>56.027447560000006</v>
      </c>
      <c r="D19" s="250" t="str">
        <f>"Line "&amp;A15&amp;" x Line "&amp;A17</f>
        <v>Line 5 x Line 7</v>
      </c>
      <c r="E19" s="247">
        <f t="shared" si="1"/>
        <v>9</v>
      </c>
    </row>
    <row r="20" spans="1:5" ht="16.5" thickTop="1">
      <c r="A20" s="247">
        <f t="shared" si="0"/>
        <v>10</v>
      </c>
      <c r="B20" s="785"/>
      <c r="C20" s="790"/>
      <c r="D20" s="272"/>
      <c r="E20" s="247">
        <f t="shared" si="1"/>
        <v>10</v>
      </c>
    </row>
    <row r="21" spans="1:5">
      <c r="A21" s="247">
        <f t="shared" si="0"/>
        <v>11</v>
      </c>
      <c r="B21" s="785" t="s">
        <v>830</v>
      </c>
      <c r="C21" s="1204">
        <v>0.27983599999999997</v>
      </c>
      <c r="D21" s="272"/>
      <c r="E21" s="247">
        <f t="shared" si="1"/>
        <v>11</v>
      </c>
    </row>
    <row r="22" spans="1:5">
      <c r="A22" s="247">
        <f t="shared" si="0"/>
        <v>12</v>
      </c>
      <c r="B22" s="785"/>
      <c r="C22" s="791"/>
      <c r="D22" s="272"/>
      <c r="E22" s="247">
        <f t="shared" si="1"/>
        <v>12</v>
      </c>
    </row>
    <row r="23" spans="1:5">
      <c r="A23" s="247">
        <f t="shared" si="0"/>
        <v>13</v>
      </c>
      <c r="B23" s="785" t="s">
        <v>831</v>
      </c>
      <c r="C23" s="177">
        <f>C19*C21</f>
        <v>15.678496815400161</v>
      </c>
      <c r="D23" s="250" t="str">
        <f>"Line "&amp;A19&amp;" x Line "&amp;A21</f>
        <v>Line 9 x Line 11</v>
      </c>
      <c r="E23" s="247">
        <f t="shared" si="1"/>
        <v>13</v>
      </c>
    </row>
    <row r="24" spans="1:5">
      <c r="A24" s="247">
        <f t="shared" si="0"/>
        <v>14</v>
      </c>
      <c r="B24" s="785"/>
      <c r="C24" s="791"/>
      <c r="D24" s="272"/>
      <c r="E24" s="247">
        <f t="shared" si="1"/>
        <v>14</v>
      </c>
    </row>
    <row r="25" spans="1:5">
      <c r="A25" s="247">
        <f t="shared" si="0"/>
        <v>15</v>
      </c>
      <c r="B25" s="785" t="s">
        <v>832</v>
      </c>
      <c r="C25" s="1205">
        <v>1.3885726029071155</v>
      </c>
      <c r="D25" s="272"/>
      <c r="E25" s="247">
        <f t="shared" si="1"/>
        <v>15</v>
      </c>
    </row>
    <row r="26" spans="1:5">
      <c r="A26" s="247">
        <f t="shared" si="0"/>
        <v>16</v>
      </c>
      <c r="B26" s="785"/>
      <c r="C26" s="791"/>
      <c r="D26" s="272"/>
      <c r="E26" s="247">
        <f t="shared" si="1"/>
        <v>16</v>
      </c>
    </row>
    <row r="27" spans="1:5" ht="16.5" thickBot="1">
      <c r="A27" s="247">
        <f t="shared" si="0"/>
        <v>17</v>
      </c>
      <c r="B27" s="789" t="s">
        <v>833</v>
      </c>
      <c r="C27" s="312">
        <f>C23*C25</f>
        <v>21.770731132631123</v>
      </c>
      <c r="D27" s="250" t="str">
        <f>"Line "&amp;A23&amp;" x Line "&amp;A25</f>
        <v>Line 13 x Line 15</v>
      </c>
      <c r="E27" s="247">
        <f t="shared" si="1"/>
        <v>17</v>
      </c>
    </row>
    <row r="28" spans="1:5" ht="17.25" thickTop="1" thickBot="1">
      <c r="A28" s="247">
        <f t="shared" si="0"/>
        <v>18</v>
      </c>
      <c r="B28" s="792"/>
      <c r="C28" s="763"/>
      <c r="D28" s="269"/>
      <c r="E28" s="247">
        <f t="shared" si="1"/>
        <v>18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8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H85"/>
  <sheetViews>
    <sheetView zoomScale="80" zoomScaleNormal="80" zoomScalePageLayoutView="53" workbookViewId="0">
      <selection activeCell="C84" sqref="C84"/>
    </sheetView>
  </sheetViews>
  <sheetFormatPr defaultColWidth="8.5703125" defaultRowHeight="15.75"/>
  <cols>
    <col min="1" max="1" width="5.140625" style="104" customWidth="1"/>
    <col min="2" max="2" width="83" style="13" customWidth="1"/>
    <col min="3" max="3" width="16.5703125" style="13" customWidth="1"/>
    <col min="4" max="4" width="1.5703125" style="13" customWidth="1"/>
    <col min="5" max="5" width="38.5703125" style="13" customWidth="1"/>
    <col min="6" max="6" width="5.140625" style="104" customWidth="1"/>
    <col min="7" max="16384" width="8.5703125" style="13"/>
  </cols>
  <sheetData>
    <row r="1" spans="1:6">
      <c r="A1" s="119"/>
      <c r="B1" s="63"/>
      <c r="C1" s="68"/>
      <c r="D1" s="68"/>
      <c r="E1" s="77"/>
      <c r="F1" s="119"/>
    </row>
    <row r="2" spans="1:6">
      <c r="A2" s="119"/>
      <c r="B2" s="1268" t="s">
        <v>0</v>
      </c>
      <c r="C2" s="1308"/>
      <c r="D2" s="1308"/>
      <c r="E2" s="1308"/>
      <c r="F2" s="119"/>
    </row>
    <row r="3" spans="1:6">
      <c r="A3" s="119" t="s">
        <v>185</v>
      </c>
      <c r="B3" s="1268" t="s">
        <v>834</v>
      </c>
      <c r="C3" s="1308"/>
      <c r="D3" s="1308"/>
      <c r="E3" s="1308"/>
      <c r="F3" s="119" t="s">
        <v>185</v>
      </c>
    </row>
    <row r="4" spans="1:6">
      <c r="A4" s="119"/>
      <c r="B4" s="1309" t="str">
        <f>'A. Sec.1 - Direct Maintenance'!B5</f>
        <v>Base Period &amp; True-Up Period 12 - Months Ending December 31, 2024</v>
      </c>
      <c r="C4" s="1310"/>
      <c r="D4" s="1310"/>
      <c r="E4" s="1310"/>
      <c r="F4" s="119"/>
    </row>
    <row r="5" spans="1:6">
      <c r="A5" s="119"/>
      <c r="B5" s="1297" t="s">
        <v>3</v>
      </c>
      <c r="C5" s="1308"/>
      <c r="D5" s="1308"/>
      <c r="E5" s="1308"/>
      <c r="F5" s="119"/>
    </row>
    <row r="6" spans="1:6">
      <c r="A6" s="119"/>
      <c r="B6" s="1090"/>
      <c r="C6" s="63"/>
      <c r="D6" s="63"/>
      <c r="E6" s="63"/>
      <c r="F6" s="119"/>
    </row>
    <row r="7" spans="1:6">
      <c r="A7" s="119" t="s">
        <v>4</v>
      </c>
      <c r="B7" s="63"/>
      <c r="C7" s="69"/>
      <c r="D7" s="69"/>
      <c r="E7" s="77"/>
      <c r="F7" s="119" t="s">
        <v>4</v>
      </c>
    </row>
    <row r="8" spans="1:6">
      <c r="A8" s="119" t="s">
        <v>5</v>
      </c>
      <c r="B8" s="63" t="s">
        <v>185</v>
      </c>
      <c r="C8" s="1074" t="s">
        <v>7</v>
      </c>
      <c r="D8" s="69"/>
      <c r="E8" s="1075" t="s">
        <v>8</v>
      </c>
      <c r="F8" s="119" t="s">
        <v>5</v>
      </c>
    </row>
    <row r="9" spans="1:6">
      <c r="A9" s="119"/>
      <c r="B9" s="20" t="s">
        <v>835</v>
      </c>
      <c r="C9" s="72"/>
      <c r="D9" s="69"/>
      <c r="E9" s="77"/>
      <c r="F9" s="119"/>
    </row>
    <row r="10" spans="1:6">
      <c r="A10" s="119"/>
      <c r="B10" s="71"/>
      <c r="C10" s="72"/>
      <c r="D10" s="69"/>
      <c r="E10" s="77"/>
      <c r="F10" s="119"/>
    </row>
    <row r="11" spans="1:6">
      <c r="A11" s="119">
        <v>1</v>
      </c>
      <c r="B11" s="20" t="s">
        <v>836</v>
      </c>
      <c r="C11" s="72"/>
      <c r="D11" s="72"/>
      <c r="E11" s="77"/>
      <c r="F11" s="119">
        <f>A11</f>
        <v>1</v>
      </c>
    </row>
    <row r="12" spans="1:6">
      <c r="A12" s="119">
        <f>A11+1</f>
        <v>2</v>
      </c>
      <c r="B12" s="17" t="s">
        <v>837</v>
      </c>
      <c r="C12" s="633">
        <f>C75</f>
        <v>6244773.3711080607</v>
      </c>
      <c r="D12" s="53"/>
      <c r="E12" s="70" t="str">
        <f>"Page 2; Line "&amp;A75</f>
        <v>Page 2; Line 16</v>
      </c>
      <c r="F12" s="119">
        <f>F11+1</f>
        <v>2</v>
      </c>
    </row>
    <row r="13" spans="1:6">
      <c r="A13" s="119">
        <f t="shared" ref="A13:A48" si="0">A12+1</f>
        <v>3</v>
      </c>
      <c r="B13" s="17" t="s">
        <v>199</v>
      </c>
      <c r="C13" s="365">
        <f>C76</f>
        <v>9827.989311320207</v>
      </c>
      <c r="D13" s="544"/>
      <c r="E13" s="70" t="str">
        <f>"Page 2; Line "&amp;A76</f>
        <v>Page 2; Line 17</v>
      </c>
      <c r="F13" s="119">
        <f t="shared" ref="F13:F48" si="1">F12+1</f>
        <v>3</v>
      </c>
    </row>
    <row r="14" spans="1:6">
      <c r="A14" s="119">
        <f t="shared" si="0"/>
        <v>4</v>
      </c>
      <c r="B14" s="17" t="s">
        <v>200</v>
      </c>
      <c r="C14" s="365">
        <f>C77</f>
        <v>36744.87838191905</v>
      </c>
      <c r="D14" s="544"/>
      <c r="E14" s="70" t="str">
        <f>"Page 2; Line "&amp;A77</f>
        <v>Page 2; Line 18</v>
      </c>
      <c r="F14" s="119">
        <f t="shared" si="1"/>
        <v>4</v>
      </c>
    </row>
    <row r="15" spans="1:6">
      <c r="A15" s="119">
        <f t="shared" si="0"/>
        <v>5</v>
      </c>
      <c r="B15" s="17" t="s">
        <v>838</v>
      </c>
      <c r="C15" s="1076">
        <f>C78</f>
        <v>111798.21081647823</v>
      </c>
      <c r="D15" s="544"/>
      <c r="E15" s="70" t="str">
        <f>"Page 2; Line "&amp;A78</f>
        <v>Page 2; Line 19</v>
      </c>
      <c r="F15" s="119">
        <f t="shared" si="1"/>
        <v>5</v>
      </c>
    </row>
    <row r="16" spans="1:6">
      <c r="A16" s="119">
        <f t="shared" si="0"/>
        <v>6</v>
      </c>
      <c r="B16" s="17" t="s">
        <v>839</v>
      </c>
      <c r="C16" s="1077">
        <f>SUM(C12:C15)</f>
        <v>6403144.449617778</v>
      </c>
      <c r="D16" s="76"/>
      <c r="E16" s="70" t="str">
        <f>"Sum Lines "&amp;A12&amp;" thru "&amp;A15</f>
        <v>Sum Lines 2 thru 5</v>
      </c>
      <c r="F16" s="119">
        <f t="shared" si="1"/>
        <v>6</v>
      </c>
    </row>
    <row r="17" spans="1:6">
      <c r="A17" s="119">
        <f t="shared" si="0"/>
        <v>7</v>
      </c>
      <c r="B17" s="16"/>
      <c r="C17" s="645"/>
      <c r="D17" s="73"/>
      <c r="E17" s="77"/>
      <c r="F17" s="119">
        <f t="shared" si="1"/>
        <v>7</v>
      </c>
    </row>
    <row r="18" spans="1:6">
      <c r="A18" s="119">
        <f t="shared" si="0"/>
        <v>8</v>
      </c>
      <c r="B18" s="20" t="s">
        <v>840</v>
      </c>
      <c r="C18" s="645"/>
      <c r="D18" s="73"/>
      <c r="E18" s="77"/>
      <c r="F18" s="119">
        <f t="shared" si="1"/>
        <v>8</v>
      </c>
    </row>
    <row r="19" spans="1:6">
      <c r="A19" s="119">
        <f t="shared" si="0"/>
        <v>9</v>
      </c>
      <c r="B19" s="17" t="s">
        <v>841</v>
      </c>
      <c r="C19" s="646">
        <f>'Stmt AG'!E11</f>
        <v>0</v>
      </c>
      <c r="D19" s="69"/>
      <c r="E19" s="70" t="str">
        <f>"Statement AG; Line "&amp;'Stmt AG'!A11</f>
        <v>Statement AG; Line 1</v>
      </c>
      <c r="F19" s="119">
        <f t="shared" si="1"/>
        <v>9</v>
      </c>
    </row>
    <row r="20" spans="1:6">
      <c r="A20" s="119">
        <f t="shared" si="0"/>
        <v>10</v>
      </c>
      <c r="B20" s="17" t="s">
        <v>842</v>
      </c>
      <c r="C20" s="844">
        <f>'Stmt Misc.'!E12</f>
        <v>0</v>
      </c>
      <c r="D20" s="69"/>
      <c r="E20" s="70" t="str">
        <f>"Statement Misc.; Line "&amp;'Stmt Misc.'!A12</f>
        <v>Statement Misc.; Line 3</v>
      </c>
      <c r="F20" s="119">
        <f t="shared" si="1"/>
        <v>10</v>
      </c>
    </row>
    <row r="21" spans="1:6">
      <c r="A21" s="119">
        <f t="shared" si="0"/>
        <v>11</v>
      </c>
      <c r="B21" s="17" t="s">
        <v>843</v>
      </c>
      <c r="C21" s="1078">
        <f>C19+C20</f>
        <v>0</v>
      </c>
      <c r="D21" s="557"/>
      <c r="E21" s="70" t="str">
        <f>"Line "&amp;A19&amp;" + Line "&amp;A20</f>
        <v>Line 9 + Line 10</v>
      </c>
      <c r="F21" s="119">
        <f t="shared" si="1"/>
        <v>11</v>
      </c>
    </row>
    <row r="22" spans="1:6">
      <c r="A22" s="119">
        <f t="shared" si="0"/>
        <v>12</v>
      </c>
      <c r="B22" s="17"/>
      <c r="C22" s="647"/>
      <c r="D22" s="68"/>
      <c r="E22" s="77"/>
      <c r="F22" s="119">
        <f t="shared" si="1"/>
        <v>12</v>
      </c>
    </row>
    <row r="23" spans="1:6">
      <c r="A23" s="119">
        <f t="shared" si="0"/>
        <v>13</v>
      </c>
      <c r="B23" s="20" t="s">
        <v>844</v>
      </c>
      <c r="C23" s="645"/>
      <c r="D23" s="73"/>
      <c r="E23" s="77"/>
      <c r="F23" s="119">
        <f t="shared" si="1"/>
        <v>13</v>
      </c>
    </row>
    <row r="24" spans="1:6">
      <c r="A24" s="119">
        <f t="shared" si="0"/>
        <v>14</v>
      </c>
      <c r="B24" s="16" t="s">
        <v>845</v>
      </c>
      <c r="C24" s="648">
        <f>'Stmt AF'!I17</f>
        <v>-1144419.1769063431</v>
      </c>
      <c r="D24" s="69"/>
      <c r="E24" s="70" t="str">
        <f>"Statement AF; Line "&amp;'Stmt AF'!A17</f>
        <v>Statement AF; Line 7</v>
      </c>
      <c r="F24" s="119">
        <f t="shared" si="1"/>
        <v>14</v>
      </c>
    </row>
    <row r="25" spans="1:6">
      <c r="A25" s="119">
        <f t="shared" si="0"/>
        <v>15</v>
      </c>
      <c r="B25" s="16" t="s">
        <v>846</v>
      </c>
      <c r="C25" s="649">
        <f>'Stmt AF'!I21</f>
        <v>0</v>
      </c>
      <c r="D25" s="69"/>
      <c r="E25" s="70" t="str">
        <f>"Statement AF; Line "&amp;'Stmt AF'!A21</f>
        <v>Statement AF; Line 11</v>
      </c>
      <c r="F25" s="119">
        <f t="shared" si="1"/>
        <v>15</v>
      </c>
    </row>
    <row r="26" spans="1:6">
      <c r="A26" s="119">
        <f t="shared" si="0"/>
        <v>16</v>
      </c>
      <c r="B26" s="17" t="s">
        <v>847</v>
      </c>
      <c r="C26" s="1077">
        <f>SUM(C24:C25)</f>
        <v>-1144419.1769063431</v>
      </c>
      <c r="D26" s="76"/>
      <c r="E26" s="70" t="str">
        <f>"Line "&amp;A24&amp;" + Line "&amp;A25</f>
        <v>Line 14 + Line 15</v>
      </c>
      <c r="F26" s="119">
        <f t="shared" si="1"/>
        <v>16</v>
      </c>
    </row>
    <row r="27" spans="1:6">
      <c r="A27" s="119">
        <f t="shared" si="0"/>
        <v>17</v>
      </c>
      <c r="B27" s="63"/>
      <c r="C27" s="650"/>
      <c r="D27" s="74"/>
      <c r="E27" s="77"/>
      <c r="F27" s="119">
        <f t="shared" si="1"/>
        <v>17</v>
      </c>
    </row>
    <row r="28" spans="1:6">
      <c r="A28" s="119">
        <f t="shared" si="0"/>
        <v>18</v>
      </c>
      <c r="B28" s="20" t="s">
        <v>848</v>
      </c>
      <c r="C28" s="650"/>
      <c r="D28" s="74"/>
      <c r="E28" s="77"/>
      <c r="F28" s="119">
        <f t="shared" si="1"/>
        <v>18</v>
      </c>
    </row>
    <row r="29" spans="1:6">
      <c r="A29" s="119">
        <f t="shared" si="0"/>
        <v>19</v>
      </c>
      <c r="B29" s="17" t="s">
        <v>849</v>
      </c>
      <c r="C29" s="633">
        <f>'Stmt AL'!G15</f>
        <v>56688.652868766367</v>
      </c>
      <c r="D29" s="69"/>
      <c r="E29" s="70" t="str">
        <f>"Statement AL; Line "&amp;'Stmt AL'!A15</f>
        <v>Statement AL; Line 5</v>
      </c>
      <c r="F29" s="119">
        <f t="shared" si="1"/>
        <v>19</v>
      </c>
    </row>
    <row r="30" spans="1:6">
      <c r="A30" s="119">
        <f t="shared" si="0"/>
        <v>20</v>
      </c>
      <c r="B30" s="17" t="s">
        <v>850</v>
      </c>
      <c r="C30" s="365">
        <f>'Stmt AL'!G19</f>
        <v>34167.229444195895</v>
      </c>
      <c r="D30" s="69"/>
      <c r="E30" s="70" t="str">
        <f>"Statement AL; Line "&amp;'Stmt AL'!A19</f>
        <v>Statement AL; Line 9</v>
      </c>
      <c r="F30" s="119">
        <f t="shared" si="1"/>
        <v>20</v>
      </c>
    </row>
    <row r="31" spans="1:6">
      <c r="A31" s="119">
        <f t="shared" si="0"/>
        <v>21</v>
      </c>
      <c r="B31" s="17" t="s">
        <v>851</v>
      </c>
      <c r="C31" s="1076">
        <f>'Stmt AL'!E29</f>
        <v>12743.239537853829</v>
      </c>
      <c r="D31" s="69"/>
      <c r="E31" s="70" t="str">
        <f>"Statement AL; Line "&amp;'Stmt AL'!A29</f>
        <v>Statement AL; Line 19</v>
      </c>
      <c r="F31" s="119">
        <f t="shared" si="1"/>
        <v>21</v>
      </c>
    </row>
    <row r="32" spans="1:6">
      <c r="A32" s="119">
        <f t="shared" si="0"/>
        <v>22</v>
      </c>
      <c r="B32" s="17" t="s">
        <v>852</v>
      </c>
      <c r="C32" s="1077">
        <f>SUM(C29:C31)</f>
        <v>103599.1218508161</v>
      </c>
      <c r="D32" s="76"/>
      <c r="E32" s="70" t="str">
        <f>"Sum Lines "&amp;A29&amp;" thru "&amp;A31</f>
        <v>Sum Lines 19 thru 21</v>
      </c>
      <c r="F32" s="119">
        <f t="shared" si="1"/>
        <v>22</v>
      </c>
    </row>
    <row r="33" spans="1:6">
      <c r="A33" s="119">
        <f t="shared" si="0"/>
        <v>23</v>
      </c>
      <c r="B33" s="57"/>
      <c r="C33" s="651"/>
      <c r="D33" s="75"/>
      <c r="E33" s="77"/>
      <c r="F33" s="119">
        <f t="shared" si="1"/>
        <v>23</v>
      </c>
    </row>
    <row r="34" spans="1:6">
      <c r="A34" s="119">
        <f t="shared" si="0"/>
        <v>24</v>
      </c>
      <c r="B34" s="17" t="s">
        <v>853</v>
      </c>
      <c r="C34" s="1079">
        <f>'Stmt Misc.'!E14</f>
        <v>0</v>
      </c>
      <c r="D34" s="69"/>
      <c r="E34" s="70" t="str">
        <f>"Statement Misc.; Line "&amp;'Stmt Misc.'!A14</f>
        <v>Statement Misc.; Line 5</v>
      </c>
      <c r="F34" s="119">
        <f t="shared" si="1"/>
        <v>24</v>
      </c>
    </row>
    <row r="35" spans="1:6">
      <c r="A35" s="119">
        <f t="shared" si="0"/>
        <v>25</v>
      </c>
      <c r="B35" s="17"/>
      <c r="C35" s="651"/>
      <c r="D35" s="75"/>
      <c r="E35" s="77"/>
      <c r="F35" s="119">
        <f t="shared" si="1"/>
        <v>25</v>
      </c>
    </row>
    <row r="36" spans="1:6" ht="16.5" thickBot="1">
      <c r="A36" s="119">
        <f t="shared" si="0"/>
        <v>26</v>
      </c>
      <c r="B36" s="17" t="s">
        <v>854</v>
      </c>
      <c r="C36" s="1175">
        <f>C16+C21+C26+C32+C34</f>
        <v>5362324.3945622519</v>
      </c>
      <c r="D36" s="76"/>
      <c r="E36" s="70" t="str">
        <f>"Sum Lines "&amp;A16&amp;", "&amp;A21&amp;", "&amp;A26&amp;", "&amp;A32&amp;", "&amp;A34</f>
        <v>Sum Lines 6, 11, 16, 22, 24</v>
      </c>
      <c r="F36" s="119">
        <f t="shared" si="1"/>
        <v>26</v>
      </c>
    </row>
    <row r="37" spans="1:6" ht="16.5" thickTop="1">
      <c r="A37" s="119">
        <f t="shared" si="0"/>
        <v>27</v>
      </c>
      <c r="B37" s="57"/>
      <c r="C37" s="652"/>
      <c r="D37" s="76"/>
      <c r="E37" s="77"/>
      <c r="F37" s="119">
        <f t="shared" si="1"/>
        <v>27</v>
      </c>
    </row>
    <row r="38" spans="1:6">
      <c r="A38" s="119">
        <f t="shared" si="0"/>
        <v>28</v>
      </c>
      <c r="B38" s="20" t="s">
        <v>855</v>
      </c>
      <c r="C38" s="652"/>
      <c r="D38" s="76"/>
      <c r="E38" s="77"/>
      <c r="F38" s="119">
        <f t="shared" si="1"/>
        <v>28</v>
      </c>
    </row>
    <row r="39" spans="1:6">
      <c r="A39" s="119">
        <f t="shared" si="0"/>
        <v>29</v>
      </c>
      <c r="B39" s="17" t="s">
        <v>856</v>
      </c>
      <c r="C39" s="875">
        <v>0</v>
      </c>
      <c r="D39" s="873"/>
      <c r="E39" s="70" t="s">
        <v>306</v>
      </c>
      <c r="F39" s="119">
        <f t="shared" si="1"/>
        <v>29</v>
      </c>
    </row>
    <row r="40" spans="1:6">
      <c r="A40" s="119">
        <f t="shared" si="0"/>
        <v>30</v>
      </c>
      <c r="B40" s="17" t="s">
        <v>857</v>
      </c>
      <c r="C40" s="895">
        <v>0</v>
      </c>
      <c r="D40" s="69"/>
      <c r="E40" s="70" t="s">
        <v>306</v>
      </c>
      <c r="F40" s="119">
        <f t="shared" si="1"/>
        <v>30</v>
      </c>
    </row>
    <row r="41" spans="1:6">
      <c r="A41" s="119">
        <f t="shared" si="0"/>
        <v>31</v>
      </c>
      <c r="B41" s="16" t="s">
        <v>858</v>
      </c>
      <c r="C41" s="874">
        <f>C39+C40</f>
        <v>0</v>
      </c>
      <c r="D41" s="76"/>
      <c r="E41" s="70" t="str">
        <f>"Line "&amp;A39&amp;" + Line "&amp;A40</f>
        <v>Line 29 + Line 30</v>
      </c>
      <c r="F41" s="119">
        <f t="shared" si="1"/>
        <v>31</v>
      </c>
    </row>
    <row r="42" spans="1:6">
      <c r="A42" s="119">
        <f t="shared" si="0"/>
        <v>32</v>
      </c>
      <c r="B42" s="57"/>
      <c r="C42" s="652"/>
      <c r="D42" s="76"/>
      <c r="E42" s="77"/>
      <c r="F42" s="119">
        <f t="shared" si="1"/>
        <v>32</v>
      </c>
    </row>
    <row r="43" spans="1:6">
      <c r="A43" s="119">
        <f t="shared" si="0"/>
        <v>33</v>
      </c>
      <c r="B43" s="20" t="s">
        <v>859</v>
      </c>
      <c r="C43" s="652"/>
      <c r="D43" s="76"/>
      <c r="E43" s="77"/>
      <c r="F43" s="119">
        <f t="shared" si="1"/>
        <v>33</v>
      </c>
    </row>
    <row r="44" spans="1:6">
      <c r="A44" s="119">
        <f t="shared" si="0"/>
        <v>34</v>
      </c>
      <c r="B44" s="17" t="s">
        <v>860</v>
      </c>
      <c r="C44" s="875">
        <v>0</v>
      </c>
      <c r="D44" s="69"/>
      <c r="E44" s="70" t="s">
        <v>306</v>
      </c>
      <c r="F44" s="119">
        <f t="shared" si="1"/>
        <v>34</v>
      </c>
    </row>
    <row r="45" spans="1:6">
      <c r="A45" s="119">
        <f t="shared" si="0"/>
        <v>35</v>
      </c>
      <c r="B45" s="16" t="s">
        <v>861</v>
      </c>
      <c r="C45" s="1080">
        <v>0</v>
      </c>
      <c r="D45" s="69"/>
      <c r="E45" s="70" t="s">
        <v>306</v>
      </c>
      <c r="F45" s="119">
        <f t="shared" si="1"/>
        <v>35</v>
      </c>
    </row>
    <row r="46" spans="1:6">
      <c r="A46" s="119">
        <f t="shared" si="0"/>
        <v>36</v>
      </c>
      <c r="B46" s="16" t="s">
        <v>862</v>
      </c>
      <c r="C46" s="874">
        <f>C44+C45</f>
        <v>0</v>
      </c>
      <c r="D46" s="76"/>
      <c r="E46" s="70" t="str">
        <f>"Line "&amp;A44&amp;" + Line "&amp;A45</f>
        <v>Line 34 + Line 35</v>
      </c>
      <c r="F46" s="119">
        <f t="shared" si="1"/>
        <v>36</v>
      </c>
    </row>
    <row r="47" spans="1:6">
      <c r="A47" s="119">
        <f t="shared" si="0"/>
        <v>37</v>
      </c>
      <c r="B47" s="57"/>
      <c r="C47" s="652"/>
      <c r="D47" s="76"/>
      <c r="E47" s="77"/>
      <c r="F47" s="119">
        <f t="shared" si="1"/>
        <v>37</v>
      </c>
    </row>
    <row r="48" spans="1:6" ht="16.5" thickBot="1">
      <c r="A48" s="119">
        <f t="shared" si="0"/>
        <v>38</v>
      </c>
      <c r="B48" s="20" t="s">
        <v>863</v>
      </c>
      <c r="C48" s="1176">
        <v>0</v>
      </c>
      <c r="D48" s="69"/>
      <c r="E48" s="70" t="s">
        <v>306</v>
      </c>
      <c r="F48" s="119">
        <f t="shared" si="1"/>
        <v>38</v>
      </c>
    </row>
    <row r="49" spans="1:8" ht="16.5" thickTop="1">
      <c r="A49" s="119"/>
      <c r="B49" s="57"/>
      <c r="C49" s="652"/>
      <c r="D49" s="76"/>
      <c r="E49" s="77"/>
      <c r="F49" s="119"/>
    </row>
    <row r="50" spans="1:8">
      <c r="A50" s="119"/>
      <c r="B50" s="77"/>
      <c r="C50" s="63"/>
      <c r="D50" s="63"/>
      <c r="E50" s="63"/>
      <c r="F50" s="119"/>
    </row>
    <row r="51" spans="1:8">
      <c r="A51" s="119"/>
      <c r="B51" s="1268" t="str">
        <f>B2</f>
        <v>SAN DIEGO GAS &amp; ELECTRIC COMPANY</v>
      </c>
      <c r="C51" s="1308"/>
      <c r="D51" s="1308"/>
      <c r="E51" s="1308"/>
      <c r="F51" s="119"/>
    </row>
    <row r="52" spans="1:8">
      <c r="A52" s="119"/>
      <c r="B52" s="1268" t="str">
        <f>B3</f>
        <v xml:space="preserve">Derivation of End Use Transmission Rate Base </v>
      </c>
      <c r="C52" s="1308"/>
      <c r="D52" s="1308"/>
      <c r="E52" s="1308"/>
      <c r="F52" s="119"/>
    </row>
    <row r="53" spans="1:8">
      <c r="A53" s="119"/>
      <c r="B53" s="1309" t="str">
        <f>B4</f>
        <v>Base Period &amp; True-Up Period 12 - Months Ending December 31, 2024</v>
      </c>
      <c r="C53" s="1310"/>
      <c r="D53" s="1310"/>
      <c r="E53" s="1310"/>
      <c r="F53" s="119"/>
    </row>
    <row r="54" spans="1:8">
      <c r="A54" s="119"/>
      <c r="B54" s="1297" t="s">
        <v>3</v>
      </c>
      <c r="C54" s="1308"/>
      <c r="D54" s="1308"/>
      <c r="E54" s="1308"/>
      <c r="F54" s="119"/>
    </row>
    <row r="55" spans="1:8">
      <c r="A55" s="119"/>
      <c r="B55" s="1090"/>
      <c r="C55" s="63"/>
      <c r="D55" s="63"/>
      <c r="E55" s="63"/>
      <c r="F55" s="119"/>
    </row>
    <row r="56" spans="1:8">
      <c r="A56" s="119" t="s">
        <v>4</v>
      </c>
      <c r="B56" s="1090"/>
      <c r="C56" s="63"/>
      <c r="D56" s="63"/>
      <c r="E56" s="63"/>
      <c r="F56" s="119"/>
    </row>
    <row r="57" spans="1:8">
      <c r="A57" s="119" t="s">
        <v>5</v>
      </c>
      <c r="B57" s="1090"/>
      <c r="C57" s="63"/>
      <c r="D57" s="63"/>
      <c r="E57" s="63"/>
      <c r="F57" s="119"/>
    </row>
    <row r="58" spans="1:8">
      <c r="A58" s="119"/>
      <c r="B58" s="20" t="s">
        <v>864</v>
      </c>
      <c r="C58" s="63"/>
      <c r="D58" s="63"/>
      <c r="E58" s="63"/>
      <c r="F58" s="119"/>
    </row>
    <row r="59" spans="1:8">
      <c r="A59" s="119"/>
      <c r="B59" s="71"/>
      <c r="C59" s="69"/>
      <c r="D59" s="69"/>
      <c r="E59" s="77"/>
      <c r="F59" s="119"/>
    </row>
    <row r="60" spans="1:8">
      <c r="A60" s="119">
        <v>1</v>
      </c>
      <c r="B60" s="20" t="s">
        <v>865</v>
      </c>
      <c r="C60" s="69"/>
      <c r="D60" s="69"/>
      <c r="E60" s="77"/>
      <c r="F60" s="119">
        <f t="shared" ref="F60:F84" si="2">A60</f>
        <v>1</v>
      </c>
    </row>
    <row r="61" spans="1:8">
      <c r="A61" s="119">
        <v>2</v>
      </c>
      <c r="B61" s="17" t="s">
        <v>837</v>
      </c>
      <c r="C61" s="653">
        <f>'Stmt AD'!I21</f>
        <v>8378423.1055796882</v>
      </c>
      <c r="D61" s="69"/>
      <c r="E61" s="70" t="str">
        <f>"Statement AD; Line "&amp;'Stmt AD'!A21</f>
        <v>Statement AD; Line 11</v>
      </c>
      <c r="F61" s="119">
        <f t="shared" si="2"/>
        <v>2</v>
      </c>
      <c r="G61" s="105"/>
      <c r="H61" s="106"/>
    </row>
    <row r="62" spans="1:8">
      <c r="A62" s="119">
        <v>3</v>
      </c>
      <c r="B62" s="17" t="s">
        <v>866</v>
      </c>
      <c r="C62" s="654">
        <f>'Stmt AD'!I37</f>
        <v>18889.340958325047</v>
      </c>
      <c r="D62" s="69"/>
      <c r="E62" s="70" t="str">
        <f>"Statement AD; Line "&amp;'Stmt AD'!A37</f>
        <v>Statement AD; Line 27</v>
      </c>
      <c r="F62" s="119">
        <f t="shared" si="2"/>
        <v>3</v>
      </c>
      <c r="G62" s="105"/>
      <c r="H62" s="106"/>
    </row>
    <row r="63" spans="1:8">
      <c r="A63" s="119">
        <v>4</v>
      </c>
      <c r="B63" s="17" t="s">
        <v>200</v>
      </c>
      <c r="C63" s="654">
        <f>'Stmt AD'!I39</f>
        <v>66172.260741565377</v>
      </c>
      <c r="D63" s="69"/>
      <c r="E63" s="70" t="str">
        <f>"Statement AD; Line "&amp;'Stmt AD'!A39</f>
        <v>Statement AD; Line 29</v>
      </c>
      <c r="F63" s="119">
        <f t="shared" si="2"/>
        <v>4</v>
      </c>
      <c r="G63" s="105"/>
      <c r="H63" s="107"/>
    </row>
    <row r="64" spans="1:8">
      <c r="A64" s="119">
        <v>5</v>
      </c>
      <c r="B64" s="17" t="s">
        <v>838</v>
      </c>
      <c r="C64" s="1081">
        <f>'Stmt AD'!I41</f>
        <v>197060.06656584344</v>
      </c>
      <c r="D64" s="69"/>
      <c r="E64" s="70" t="str">
        <f>"Statement AD; Line "&amp;'Stmt AD'!A41</f>
        <v>Statement AD; Line 31</v>
      </c>
      <c r="F64" s="119">
        <f t="shared" si="2"/>
        <v>5</v>
      </c>
      <c r="G64" s="106"/>
      <c r="H64" s="106"/>
    </row>
    <row r="65" spans="1:8">
      <c r="A65" s="119">
        <v>6</v>
      </c>
      <c r="B65" s="17" t="s">
        <v>867</v>
      </c>
      <c r="C65" s="1077">
        <f>SUM(C61:C64)</f>
        <v>8660544.7738454212</v>
      </c>
      <c r="D65" s="76"/>
      <c r="E65" s="70" t="str">
        <f>"Sum Lines "&amp;A61&amp;" thru "&amp;A64</f>
        <v>Sum Lines 2 thru 5</v>
      </c>
      <c r="F65" s="119">
        <f t="shared" si="2"/>
        <v>6</v>
      </c>
      <c r="G65" s="105"/>
      <c r="H65" s="106"/>
    </row>
    <row r="66" spans="1:8">
      <c r="A66" s="119">
        <v>7</v>
      </c>
      <c r="B66" s="16"/>
      <c r="C66" s="655"/>
      <c r="D66" s="69"/>
      <c r="E66" s="77"/>
      <c r="F66" s="119">
        <f t="shared" si="2"/>
        <v>7</v>
      </c>
      <c r="G66" s="106"/>
      <c r="H66" s="106"/>
    </row>
    <row r="67" spans="1:8">
      <c r="A67" s="119">
        <v>8</v>
      </c>
      <c r="B67" s="19" t="s">
        <v>868</v>
      </c>
      <c r="C67" s="655"/>
      <c r="D67" s="69"/>
      <c r="E67" s="77"/>
      <c r="F67" s="119">
        <f t="shared" si="2"/>
        <v>8</v>
      </c>
      <c r="G67" s="106"/>
      <c r="H67" s="106"/>
    </row>
    <row r="68" spans="1:8">
      <c r="A68" s="119">
        <v>9</v>
      </c>
      <c r="B68" s="16" t="s">
        <v>869</v>
      </c>
      <c r="C68" s="653">
        <f>'Stmt AE'!I11</f>
        <v>2133649.734471628</v>
      </c>
      <c r="D68" s="69"/>
      <c r="E68" s="70" t="str">
        <f>"Statement AE; Line "&amp;'Stmt AE'!A11</f>
        <v>Statement AE; Line 1</v>
      </c>
      <c r="F68" s="119">
        <f t="shared" si="2"/>
        <v>9</v>
      </c>
      <c r="G68" s="106"/>
      <c r="H68" s="106"/>
    </row>
    <row r="69" spans="1:8">
      <c r="A69" s="119">
        <v>10</v>
      </c>
      <c r="B69" s="16" t="s">
        <v>301</v>
      </c>
      <c r="C69" s="654">
        <f>'Stmt AE'!I21</f>
        <v>9061.3516470048398</v>
      </c>
      <c r="D69" s="69"/>
      <c r="E69" s="70" t="str">
        <f>"Statement AE; Line "&amp;'Stmt AE'!A21</f>
        <v>Statement AE; Line 11</v>
      </c>
      <c r="F69" s="119">
        <f t="shared" si="2"/>
        <v>10</v>
      </c>
      <c r="G69" s="106"/>
      <c r="H69" s="106"/>
    </row>
    <row r="70" spans="1:8">
      <c r="A70" s="119">
        <v>11</v>
      </c>
      <c r="B70" s="16" t="s">
        <v>870</v>
      </c>
      <c r="C70" s="654">
        <f>'Stmt AE'!I23</f>
        <v>29427.382359646326</v>
      </c>
      <c r="D70" s="69"/>
      <c r="E70" s="70" t="str">
        <f>"Statement AE; Line "&amp;'Stmt AE'!A23</f>
        <v>Statement AE; Line 13</v>
      </c>
      <c r="F70" s="119">
        <f t="shared" si="2"/>
        <v>11</v>
      </c>
      <c r="G70" s="106"/>
      <c r="H70" s="106"/>
    </row>
    <row r="71" spans="1:8">
      <c r="A71" s="119">
        <v>12</v>
      </c>
      <c r="B71" s="16" t="s">
        <v>871</v>
      </c>
      <c r="C71" s="1081">
        <f>'Stmt AE'!I25</f>
        <v>85261.855749365219</v>
      </c>
      <c r="D71" s="69"/>
      <c r="E71" s="70" t="str">
        <f>"Statement AE; Line "&amp;'Stmt AE'!A25</f>
        <v>Statement AE; Line 15</v>
      </c>
      <c r="F71" s="119">
        <f t="shared" si="2"/>
        <v>12</v>
      </c>
      <c r="G71" s="106"/>
      <c r="H71" s="106"/>
    </row>
    <row r="72" spans="1:8">
      <c r="A72" s="119">
        <v>13</v>
      </c>
      <c r="B72" s="559" t="s">
        <v>304</v>
      </c>
      <c r="C72" s="1077">
        <f>SUM(C68:C71)</f>
        <v>2257400.3242276446</v>
      </c>
      <c r="D72" s="76"/>
      <c r="E72" s="70" t="str">
        <f>"Sum Lines "&amp;A68&amp;" thru "&amp;A71</f>
        <v>Sum Lines 9 thru 12</v>
      </c>
      <c r="F72" s="119">
        <f t="shared" si="2"/>
        <v>13</v>
      </c>
      <c r="G72" s="106"/>
      <c r="H72" s="106"/>
    </row>
    <row r="73" spans="1:8">
      <c r="A73" s="119">
        <v>14</v>
      </c>
      <c r="B73" s="559"/>
      <c r="C73" s="650"/>
      <c r="D73" s="74"/>
      <c r="E73" s="77"/>
      <c r="F73" s="119">
        <f t="shared" si="2"/>
        <v>14</v>
      </c>
      <c r="G73" s="106"/>
      <c r="H73" s="106"/>
    </row>
    <row r="74" spans="1:8">
      <c r="A74" s="119">
        <v>15</v>
      </c>
      <c r="B74" s="20" t="s">
        <v>836</v>
      </c>
      <c r="C74" s="650"/>
      <c r="D74" s="74"/>
      <c r="E74" s="77"/>
      <c r="F74" s="119">
        <f t="shared" si="2"/>
        <v>15</v>
      </c>
      <c r="G74" s="106"/>
      <c r="H74" s="106"/>
    </row>
    <row r="75" spans="1:8">
      <c r="A75" s="119">
        <v>16</v>
      </c>
      <c r="B75" s="17" t="s">
        <v>837</v>
      </c>
      <c r="C75" s="656">
        <f>C61-C68</f>
        <v>6244773.3711080607</v>
      </c>
      <c r="D75" s="78"/>
      <c r="E75" s="70" t="str">
        <f>"Line "&amp;A61&amp;" Minus Line "&amp;A68</f>
        <v>Line 2 Minus Line 9</v>
      </c>
      <c r="F75" s="119">
        <f t="shared" si="2"/>
        <v>16</v>
      </c>
      <c r="G75" s="106"/>
      <c r="H75" s="106"/>
    </row>
    <row r="76" spans="1:8">
      <c r="A76" s="119">
        <v>17</v>
      </c>
      <c r="B76" s="17" t="s">
        <v>199</v>
      </c>
      <c r="C76" s="657">
        <f>C62-C69</f>
        <v>9827.989311320207</v>
      </c>
      <c r="D76" s="79"/>
      <c r="E76" s="70" t="str">
        <f>"Line "&amp;A62&amp;" Minus Line "&amp;A69</f>
        <v>Line 3 Minus Line 10</v>
      </c>
      <c r="F76" s="119">
        <f t="shared" si="2"/>
        <v>17</v>
      </c>
      <c r="G76" s="106"/>
      <c r="H76" s="106"/>
    </row>
    <row r="77" spans="1:8">
      <c r="A77" s="119">
        <v>18</v>
      </c>
      <c r="B77" s="17" t="s">
        <v>200</v>
      </c>
      <c r="C77" s="657">
        <f>C63-C70</f>
        <v>36744.87838191905</v>
      </c>
      <c r="D77" s="79"/>
      <c r="E77" s="70" t="str">
        <f>"Line "&amp;A63&amp;" Minus Line "&amp;A70</f>
        <v>Line 4 Minus Line 11</v>
      </c>
      <c r="F77" s="119">
        <f t="shared" si="2"/>
        <v>18</v>
      </c>
    </row>
    <row r="78" spans="1:8">
      <c r="A78" s="119">
        <v>19</v>
      </c>
      <c r="B78" s="17" t="s">
        <v>838</v>
      </c>
      <c r="C78" s="1082">
        <f>C64-C71</f>
        <v>111798.21081647823</v>
      </c>
      <c r="D78" s="558"/>
      <c r="E78" s="70" t="str">
        <f>"Line "&amp;A64&amp;" Minus Line "&amp;A71</f>
        <v>Line 5 Minus Line 12</v>
      </c>
      <c r="F78" s="119">
        <f t="shared" si="2"/>
        <v>19</v>
      </c>
    </row>
    <row r="79" spans="1:8" ht="16.5" thickBot="1">
      <c r="A79" s="119">
        <v>20</v>
      </c>
      <c r="B79" s="16" t="s">
        <v>839</v>
      </c>
      <c r="C79" s="1083">
        <f>SUM(C75:C78)</f>
        <v>6403144.449617778</v>
      </c>
      <c r="D79" s="76"/>
      <c r="E79" s="70" t="str">
        <f>"Sum Lines "&amp;A75&amp;" thru "&amp;A78</f>
        <v>Sum Lines 16 thru 19</v>
      </c>
      <c r="F79" s="119">
        <f t="shared" si="2"/>
        <v>20</v>
      </c>
    </row>
    <row r="80" spans="1:8" ht="16.5" thickTop="1">
      <c r="A80" s="119">
        <v>21</v>
      </c>
      <c r="B80" s="57"/>
      <c r="C80" s="76"/>
      <c r="D80" s="76"/>
      <c r="E80" s="77"/>
      <c r="F80" s="119">
        <f t="shared" si="2"/>
        <v>21</v>
      </c>
    </row>
    <row r="81" spans="1:6">
      <c r="A81" s="119">
        <v>22</v>
      </c>
      <c r="B81" s="20" t="s">
        <v>872</v>
      </c>
      <c r="C81" s="76"/>
      <c r="D81" s="76"/>
      <c r="E81" s="77"/>
      <c r="F81" s="119">
        <f t="shared" si="2"/>
        <v>22</v>
      </c>
    </row>
    <row r="82" spans="1:6">
      <c r="A82" s="119">
        <v>23</v>
      </c>
      <c r="B82" s="17" t="s">
        <v>873</v>
      </c>
      <c r="C82" s="875">
        <v>0</v>
      </c>
      <c r="D82" s="76"/>
      <c r="E82" s="70" t="s">
        <v>306</v>
      </c>
      <c r="F82" s="119">
        <f t="shared" si="2"/>
        <v>23</v>
      </c>
    </row>
    <row r="83" spans="1:6">
      <c r="A83" s="119">
        <v>24</v>
      </c>
      <c r="B83" s="16" t="s">
        <v>874</v>
      </c>
      <c r="C83" s="1080">
        <v>0</v>
      </c>
      <c r="D83" s="76"/>
      <c r="E83" s="70" t="s">
        <v>306</v>
      </c>
      <c r="F83" s="119">
        <f t="shared" si="2"/>
        <v>24</v>
      </c>
    </row>
    <row r="84" spans="1:6" ht="16.5" thickBot="1">
      <c r="A84" s="119">
        <v>25</v>
      </c>
      <c r="B84" s="17" t="s">
        <v>875</v>
      </c>
      <c r="C84" s="1175">
        <f>C82-C83</f>
        <v>0</v>
      </c>
      <c r="D84" s="76"/>
      <c r="E84" s="70" t="str">
        <f>"Line "&amp;A82&amp;" Minus Line "&amp;A83</f>
        <v>Line 23 Minus Line 24</v>
      </c>
      <c r="F84" s="119">
        <f t="shared" si="2"/>
        <v>25</v>
      </c>
    </row>
    <row r="85" spans="1:6" ht="16.5" thickTop="1">
      <c r="A85" s="119"/>
    </row>
  </sheetData>
  <mergeCells count="8">
    <mergeCell ref="B54:E54"/>
    <mergeCell ref="B51:E51"/>
    <mergeCell ref="B52:E52"/>
    <mergeCell ref="B53:E53"/>
    <mergeCell ref="B2:E2"/>
    <mergeCell ref="B3:E3"/>
    <mergeCell ref="B4:E4"/>
    <mergeCell ref="B5:E5"/>
  </mergeCells>
  <printOptions horizontalCentered="1"/>
  <pageMargins left="0.5" right="0.5" top="0.5" bottom="0.5" header="0.25" footer="0.25"/>
  <pageSetup scale="63" fitToHeight="0" orientation="portrait" r:id="rId1"/>
  <headerFooter scaleWithDoc="0">
    <oddFooter>&amp;C&amp;"Times New Roman,Regular"&amp;10&amp;A
Page &amp;P of 2</oddFooter>
    <evenFooter>&amp;C&amp;"Times New Roman,Regular"&amp;10&amp;A
Page 1 of 2</evenFooter>
  </headerFooter>
  <rowBreaks count="1" manualBreakCount="1">
    <brk id="49" max="5" man="1"/>
  </rowBreaks>
  <customProperties>
    <customPr name="_pios_id" r:id="rId2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6FA1-8676-4431-815B-9111972684D6}">
  <sheetPr>
    <pageSetUpPr fitToPage="1"/>
  </sheetPr>
  <dimension ref="A1:H20"/>
  <sheetViews>
    <sheetView zoomScale="80" zoomScaleNormal="80" zoomScaleSheetLayoutView="70" workbookViewId="0">
      <selection activeCell="G30" sqref="G30"/>
    </sheetView>
  </sheetViews>
  <sheetFormatPr defaultColWidth="8.5703125" defaultRowHeight="15.75"/>
  <cols>
    <col min="1" max="1" width="5.140625" style="247" customWidth="1"/>
    <col min="2" max="2" width="50.5703125" style="216" customWidth="1"/>
    <col min="3" max="3" width="21.140625" style="216" customWidth="1"/>
    <col min="4" max="4" width="1.5703125" style="216" customWidth="1"/>
    <col min="5" max="5" width="16.5703125" style="216" customWidth="1"/>
    <col min="6" max="6" width="1.5703125" style="216" customWidth="1"/>
    <col min="7" max="7" width="36.42578125" style="216" customWidth="1"/>
    <col min="8" max="8" width="5.140625" style="216" customWidth="1"/>
    <col min="9" max="9" width="8.5703125" style="216"/>
    <col min="10" max="10" width="20.42578125" style="216" bestFit="1" customWidth="1"/>
    <col min="11" max="16384" width="8.5703125" style="216"/>
  </cols>
  <sheetData>
    <row r="1" spans="1:8">
      <c r="E1" s="396"/>
      <c r="F1" s="396"/>
      <c r="G1" s="247"/>
      <c r="H1" s="247"/>
    </row>
    <row r="2" spans="1:8">
      <c r="B2" s="1281" t="s">
        <v>0</v>
      </c>
      <c r="C2" s="1281"/>
      <c r="D2" s="1281"/>
      <c r="E2" s="1281"/>
      <c r="F2" s="1281"/>
      <c r="G2" s="1281"/>
      <c r="H2" s="247"/>
    </row>
    <row r="3" spans="1:8">
      <c r="B3" s="1281" t="s">
        <v>876</v>
      </c>
      <c r="C3" s="1281"/>
      <c r="D3" s="1281"/>
      <c r="E3" s="1311"/>
      <c r="F3" s="1311"/>
      <c r="G3" s="1311"/>
      <c r="H3" s="247"/>
    </row>
    <row r="4" spans="1:8">
      <c r="B4" s="1283" t="str">
        <f>'A. Sec.1 - Direct Maintenance'!B5</f>
        <v>Base Period &amp; True-Up Period 12 - Months Ending December 31, 2024</v>
      </c>
      <c r="C4" s="1283"/>
      <c r="D4" s="1283"/>
      <c r="E4" s="1283"/>
      <c r="F4" s="1283"/>
      <c r="G4" s="1283"/>
      <c r="H4" s="247"/>
    </row>
    <row r="5" spans="1:8">
      <c r="B5" s="1279" t="s">
        <v>3</v>
      </c>
      <c r="C5" s="1293"/>
      <c r="D5" s="1293"/>
      <c r="E5" s="1293"/>
      <c r="F5" s="1293"/>
      <c r="G5" s="1293"/>
      <c r="H5" s="247"/>
    </row>
    <row r="6" spans="1:8">
      <c r="B6" s="247"/>
      <c r="C6" s="247"/>
      <c r="D6" s="247"/>
      <c r="E6" s="247"/>
      <c r="F6" s="247"/>
      <c r="G6" s="247"/>
      <c r="H6" s="247"/>
    </row>
    <row r="7" spans="1:8">
      <c r="A7" s="247" t="s">
        <v>4</v>
      </c>
      <c r="B7" s="843"/>
      <c r="C7" s="247" t="s">
        <v>188</v>
      </c>
      <c r="D7" s="551"/>
      <c r="E7" s="551"/>
      <c r="F7" s="551"/>
      <c r="G7" s="247"/>
      <c r="H7" s="247" t="s">
        <v>4</v>
      </c>
    </row>
    <row r="8" spans="1:8">
      <c r="A8" s="247" t="s">
        <v>5</v>
      </c>
      <c r="B8" s="247"/>
      <c r="C8" s="994" t="s">
        <v>190</v>
      </c>
      <c r="D8" s="551"/>
      <c r="E8" s="994" t="s">
        <v>7</v>
      </c>
      <c r="F8" s="551"/>
      <c r="G8" s="994" t="s">
        <v>8</v>
      </c>
      <c r="H8" s="247" t="s">
        <v>5</v>
      </c>
    </row>
    <row r="9" spans="1:8">
      <c r="C9" s="247"/>
      <c r="D9" s="247"/>
      <c r="F9" s="551"/>
      <c r="H9" s="247"/>
    </row>
    <row r="10" spans="1:8" ht="16.5" thickBot="1">
      <c r="A10" s="247">
        <v>1</v>
      </c>
      <c r="B10" s="420" t="s">
        <v>877</v>
      </c>
      <c r="C10" s="247"/>
      <c r="D10" s="247"/>
      <c r="E10" s="1176">
        <v>0</v>
      </c>
      <c r="F10" s="551"/>
      <c r="G10" s="247" t="s">
        <v>306</v>
      </c>
      <c r="H10" s="247">
        <f>A10</f>
        <v>1</v>
      </c>
    </row>
    <row r="11" spans="1:8" ht="16.5" thickTop="1">
      <c r="A11" s="247">
        <f t="shared" ref="A11:A16" si="0">A10+1</f>
        <v>2</v>
      </c>
      <c r="C11" s="247"/>
      <c r="D11" s="247"/>
      <c r="F11" s="551"/>
      <c r="H11" s="119">
        <f>H10+1</f>
        <v>2</v>
      </c>
    </row>
    <row r="12" spans="1:8" ht="19.5" thickBot="1">
      <c r="A12" s="247">
        <f t="shared" si="0"/>
        <v>3</v>
      </c>
      <c r="B12" s="420" t="s">
        <v>878</v>
      </c>
      <c r="E12" s="1177">
        <v>0</v>
      </c>
      <c r="F12" s="551"/>
      <c r="G12" s="247"/>
      <c r="H12" s="119">
        <f t="shared" ref="H12:H16" si="1">H11+1</f>
        <v>3</v>
      </c>
    </row>
    <row r="13" spans="1:8" ht="16.5" thickTop="1">
      <c r="A13" s="247">
        <f t="shared" si="0"/>
        <v>4</v>
      </c>
      <c r="F13" s="551"/>
      <c r="H13" s="119">
        <f t="shared" si="1"/>
        <v>4</v>
      </c>
    </row>
    <row r="14" spans="1:8" ht="19.5" thickBot="1">
      <c r="A14" s="247">
        <f t="shared" si="0"/>
        <v>5</v>
      </c>
      <c r="B14" s="420" t="s">
        <v>879</v>
      </c>
      <c r="E14" s="1177">
        <v>0</v>
      </c>
      <c r="F14" s="551"/>
      <c r="G14" s="247"/>
      <c r="H14" s="119">
        <f t="shared" si="1"/>
        <v>5</v>
      </c>
    </row>
    <row r="15" spans="1:8" ht="16.5" thickTop="1">
      <c r="A15" s="247">
        <f t="shared" si="0"/>
        <v>6</v>
      </c>
      <c r="B15" s="420"/>
      <c r="E15" s="876"/>
      <c r="F15" s="551"/>
      <c r="G15" s="247"/>
      <c r="H15" s="119">
        <f t="shared" si="1"/>
        <v>6</v>
      </c>
    </row>
    <row r="16" spans="1:8" ht="16.5" thickBot="1">
      <c r="A16" s="247">
        <f t="shared" si="0"/>
        <v>7</v>
      </c>
      <c r="B16" s="420" t="s">
        <v>860</v>
      </c>
      <c r="E16" s="1176">
        <v>0</v>
      </c>
      <c r="F16" s="551"/>
      <c r="G16" s="247" t="s">
        <v>306</v>
      </c>
      <c r="H16" s="119">
        <f t="shared" si="1"/>
        <v>7</v>
      </c>
    </row>
    <row r="17" spans="1:8" ht="16.5" thickTop="1">
      <c r="H17" s="247"/>
    </row>
    <row r="18" spans="1:8">
      <c r="H18" s="247"/>
    </row>
    <row r="19" spans="1:8" ht="18.75">
      <c r="A19" s="477">
        <v>1</v>
      </c>
      <c r="B19" s="216" t="s">
        <v>1038</v>
      </c>
      <c r="H19" s="247"/>
    </row>
    <row r="20" spans="1:8">
      <c r="B20" s="216" t="s">
        <v>998</v>
      </c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69" orientation="portrait" r:id="rId1"/>
  <headerFooter scaleWithDoc="0">
    <oddFooter>&amp;C&amp;"Times New Roman,Regular"&amp;10Misc.</oddFooter>
  </headerFooter>
  <customProperties>
    <customPr name="_pios_id" r:id="rId2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C3"/>
  <sheetViews>
    <sheetView zoomScale="80" zoomScaleNormal="80" workbookViewId="0">
      <selection activeCell="D12" sqref="D12"/>
    </sheetView>
  </sheetViews>
  <sheetFormatPr defaultColWidth="8.5703125" defaultRowHeight="15.75"/>
  <cols>
    <col min="1" max="1" width="28.5703125" style="13" customWidth="1"/>
    <col min="2" max="2" width="14.140625" style="13" customWidth="1"/>
    <col min="3" max="3" width="29.5703125" style="13" customWidth="1"/>
    <col min="4" max="4" width="17.42578125" style="13" customWidth="1"/>
    <col min="5" max="16384" width="8.5703125" style="13"/>
  </cols>
  <sheetData>
    <row r="1" spans="1:3">
      <c r="A1" s="139" t="s">
        <v>880</v>
      </c>
      <c r="B1" s="138">
        <v>6</v>
      </c>
      <c r="C1" s="138"/>
    </row>
    <row r="2" spans="1:3">
      <c r="A2" s="139" t="s">
        <v>881</v>
      </c>
      <c r="B2" s="138">
        <v>8</v>
      </c>
      <c r="C2" s="138"/>
    </row>
    <row r="3" spans="1:3">
      <c r="A3" s="139" t="s">
        <v>882</v>
      </c>
      <c r="B3" s="138">
        <v>2024</v>
      </c>
      <c r="C3" s="138"/>
    </row>
  </sheetData>
  <printOptions horizontalCentered="1"/>
  <pageMargins left="0.5" right="0.5" top="0.5" bottom="0.5" header="0.25" footer="0.25"/>
  <pageSetup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11BA89-ED55-4C3F-975A-5A56332A7399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2402e27d-cbdc-4559-a5c7-f7461c00183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6A2A22D-3263-4165-BC0B-95A1C83E5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3</vt:i4>
      </vt:variant>
    </vt:vector>
  </HeadingPairs>
  <TitlesOfParts>
    <vt:vector size="63" baseType="lpstr">
      <vt:lpstr>Summary of Cost Components</vt:lpstr>
      <vt:lpstr>A. Sec.1 - Direct Maintenance</vt:lpstr>
      <vt:lpstr>B. Sec.2 - Non-Direct Expenses</vt:lpstr>
      <vt:lpstr>C. Sec.3 - Other Costs</vt:lpstr>
      <vt:lpstr>D. Sec.4 - TU</vt:lpstr>
      <vt:lpstr>D1. Sec.4 - C7 Invoice Summary</vt:lpstr>
      <vt:lpstr>D2. Sec.4 - C6 Invoice Summary</vt:lpstr>
      <vt:lpstr>E. Sec.5 - Interest TU (BP)</vt:lpstr>
      <vt:lpstr>E1. Sec.5 - Interest TU (CY)</vt:lpstr>
      <vt:lpstr>F. Sec.6 - Cost Stmnts</vt:lpstr>
      <vt:lpstr>Stmt AD</vt:lpstr>
      <vt:lpstr>AD-1</vt:lpstr>
      <vt:lpstr>AD-2</vt:lpstr>
      <vt:lpstr>AD-3</vt:lpstr>
      <vt:lpstr>AD-4</vt:lpstr>
      <vt:lpstr>AD-5</vt:lpstr>
      <vt:lpstr>AD-6</vt:lpstr>
      <vt:lpstr>AD-6A</vt:lpstr>
      <vt:lpstr>AD-6B</vt:lpstr>
      <vt:lpstr>AD-6C</vt:lpstr>
      <vt:lpstr>AD-7</vt:lpstr>
      <vt:lpstr>AD-8</vt:lpstr>
      <vt:lpstr>AD-9</vt:lpstr>
      <vt:lpstr>AD-10</vt:lpstr>
      <vt:lpstr>Stmt AE</vt:lpstr>
      <vt:lpstr>AE-1</vt:lpstr>
      <vt:lpstr>AE-1A</vt:lpstr>
      <vt:lpstr>AE-1B</vt:lpstr>
      <vt:lpstr>AE-1C</vt:lpstr>
      <vt:lpstr>AE-2</vt:lpstr>
      <vt:lpstr>AE-3</vt:lpstr>
      <vt:lpstr>AE-4</vt:lpstr>
      <vt:lpstr>Stmt AF</vt:lpstr>
      <vt:lpstr>AF-1</vt:lpstr>
      <vt:lpstr>AF-2</vt:lpstr>
      <vt:lpstr>AF-3</vt:lpstr>
      <vt:lpstr>Stmt AG</vt:lpstr>
      <vt:lpstr>AG-1</vt:lpstr>
      <vt:lpstr>AG-1A</vt:lpstr>
      <vt:lpstr>Stmt AH</vt:lpstr>
      <vt:lpstr>AH-1</vt:lpstr>
      <vt:lpstr>AH-2</vt:lpstr>
      <vt:lpstr>AH-3</vt:lpstr>
      <vt:lpstr>Stmt AI</vt:lpstr>
      <vt:lpstr>AI-1</vt:lpstr>
      <vt:lpstr>Stmt AJ</vt:lpstr>
      <vt:lpstr>AJ-1</vt:lpstr>
      <vt:lpstr>AJ-2</vt:lpstr>
      <vt:lpstr>Stmt AK</vt:lpstr>
      <vt:lpstr>Stmt AL</vt:lpstr>
      <vt:lpstr>AL-1</vt:lpstr>
      <vt:lpstr>AL-2</vt:lpstr>
      <vt:lpstr>Stmt AR</vt:lpstr>
      <vt:lpstr>AR-1</vt:lpstr>
      <vt:lpstr>Stmt AV</vt:lpstr>
      <vt:lpstr>AV-2A</vt:lpstr>
      <vt:lpstr>AV-2B</vt:lpstr>
      <vt:lpstr>AV-4</vt:lpstr>
      <vt:lpstr>Stmt Misc.</vt:lpstr>
      <vt:lpstr>Automation</vt:lpstr>
      <vt:lpstr>'AG-1'!Print_Area</vt:lpstr>
      <vt:lpstr>'AL-1'!Print_Area</vt:lpstr>
      <vt:lpstr>'Stmt AK'!Print_Area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Pham, Jenny L.</cp:lastModifiedBy>
  <cp:revision/>
  <cp:lastPrinted>2025-07-13T07:50:48Z</cp:lastPrinted>
  <dcterms:created xsi:type="dcterms:W3CDTF">2016-08-29T13:22:03Z</dcterms:created>
  <dcterms:modified xsi:type="dcterms:W3CDTF">2025-07-13T07:51:22Z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0x010100B2C66BA30F6EC541B9CEB3D9AC6A7FD3</vt:lpwstr>
  </property>
  <property fmtid="{D5CDD505-2E9C-101B-9397-08002B2CF9AE}" pid="4" name="Order">
    <vt:r8>76800</vt:r8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ediaServiceImageTags">
    <vt:lpwstr/>
  </property>
</Properties>
</file>