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filterPrivacy="1" defaultThemeVersion="166925"/>
  <xr:revisionPtr revIDLastSave="5" documentId="8_{404C21A1-9DBE-4C7D-8FBD-8BB58C71BAFC}" xr6:coauthVersionLast="47" xr6:coauthVersionMax="47" xr10:uidLastSave="{21A6A723-EEEB-4D01-8677-AC0DB46D85D5}"/>
  <bookViews>
    <workbookView xWindow="-120" yWindow="-120" windowWidth="29040" windowHeight="15720" xr2:uid="{00000000-000D-0000-FFFF-FFFF00000000}"/>
  </bookViews>
  <sheets>
    <sheet name=" Summary" sheetId="6" r:id="rId1"/>
    <sheet name="Cost Input" sheetId="7" r:id="rId2"/>
    <sheet name="Construction Cost per Mile" sheetId="5" r:id="rId3"/>
    <sheet name="Cost Mapping Lookups" sheetId="2" state="hidden" r:id="rId4"/>
  </sheets>
  <definedNames>
    <definedName name="_xlnm._FilterDatabase" localSheetId="2" hidden="1">'Construction Cost per Mile'!$B$13:$U$136</definedName>
    <definedName name="ID" localSheetId="0" hidden="1">"6de59803-a25a-46d3-b68b-2b442b550d2d"</definedName>
    <definedName name="ID" localSheetId="2" hidden="1">"96fab8b5-a643-4bfd-8c48-18e5cf9b4443"</definedName>
    <definedName name="ID" localSheetId="1" hidden="1">"420f0714-9352-45e8-8f9c-dbde22948cfa"</definedName>
    <definedName name="ID" localSheetId="3" hidden="1">"455d6688-06b3-4c19-9ba1-e5972ae72c8d"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6" i="5" l="1"/>
  <c r="K136" i="5"/>
  <c r="J136" i="5"/>
  <c r="L135" i="5"/>
  <c r="K135" i="5"/>
  <c r="J135" i="5"/>
  <c r="H135" i="5"/>
  <c r="G135" i="5"/>
  <c r="L134" i="5"/>
  <c r="K134" i="5"/>
  <c r="J134" i="5"/>
  <c r="H134" i="5"/>
  <c r="P134" i="5"/>
  <c r="L133" i="5"/>
  <c r="K133" i="5"/>
  <c r="J133" i="5"/>
  <c r="G133" i="5"/>
  <c r="L132" i="5"/>
  <c r="K132" i="5"/>
  <c r="J132" i="5"/>
  <c r="H132" i="5"/>
  <c r="P132" i="5"/>
  <c r="K131" i="5"/>
  <c r="L130" i="5"/>
  <c r="K130" i="5"/>
  <c r="J130" i="5"/>
  <c r="P130" i="5"/>
  <c r="I130" i="5" s="1"/>
  <c r="G130" i="5"/>
  <c r="L129" i="5"/>
  <c r="K129" i="5"/>
  <c r="J129" i="5"/>
  <c r="H129" i="5"/>
  <c r="P129" i="5"/>
  <c r="I129" i="5" s="1"/>
  <c r="G129" i="5"/>
  <c r="K128" i="5"/>
  <c r="H128" i="5"/>
  <c r="L127" i="5"/>
  <c r="K127" i="5"/>
  <c r="J127" i="5"/>
  <c r="H127" i="5"/>
  <c r="P127" i="5"/>
  <c r="I127" i="5" s="1"/>
  <c r="L126" i="5"/>
  <c r="K126" i="5"/>
  <c r="J126" i="5"/>
  <c r="H126" i="5"/>
  <c r="L125" i="5"/>
  <c r="K125" i="5"/>
  <c r="J125" i="5"/>
  <c r="G125" i="5"/>
  <c r="L124" i="5"/>
  <c r="K124" i="5"/>
  <c r="P124" i="5"/>
  <c r="I124" i="5" s="1"/>
  <c r="H124" i="5"/>
  <c r="G124" i="5"/>
  <c r="J124" i="5"/>
  <c r="K123" i="5"/>
  <c r="J123" i="5"/>
  <c r="L122" i="5"/>
  <c r="K122" i="5"/>
  <c r="J122" i="5"/>
  <c r="H122" i="5"/>
  <c r="G122" i="5"/>
  <c r="L121" i="5"/>
  <c r="K121" i="5"/>
  <c r="J121" i="5"/>
  <c r="H121" i="5"/>
  <c r="P121" i="5"/>
  <c r="L119" i="5"/>
  <c r="K119" i="5"/>
  <c r="J119" i="5"/>
  <c r="H119" i="5"/>
  <c r="G119" i="5"/>
  <c r="L118" i="5"/>
  <c r="K118" i="5"/>
  <c r="H118" i="5"/>
  <c r="P118" i="5"/>
  <c r="J118" i="5"/>
  <c r="L117" i="5"/>
  <c r="K117" i="5"/>
  <c r="J117" i="5"/>
  <c r="G117" i="5"/>
  <c r="L116" i="5"/>
  <c r="K116" i="5"/>
  <c r="J116" i="5"/>
  <c r="P116" i="5"/>
  <c r="G116" i="5"/>
  <c r="H116" i="5"/>
  <c r="J115" i="5"/>
  <c r="H115" i="5"/>
  <c r="K115" i="5"/>
  <c r="K114" i="5"/>
  <c r="J114" i="5"/>
  <c r="P114" i="5"/>
  <c r="I114" i="5" s="1"/>
  <c r="L114" i="5"/>
  <c r="H114" i="5"/>
  <c r="G114" i="5"/>
  <c r="L113" i="5"/>
  <c r="H113" i="5"/>
  <c r="P113" i="5"/>
  <c r="K113" i="5"/>
  <c r="J113" i="5"/>
  <c r="H112" i="5"/>
  <c r="L111" i="5"/>
  <c r="K111" i="5"/>
  <c r="J111" i="5"/>
  <c r="P111" i="5"/>
  <c r="I111" i="5" s="1"/>
  <c r="H111" i="5"/>
  <c r="G111" i="5"/>
  <c r="L110" i="5"/>
  <c r="J110" i="5"/>
  <c r="H110" i="5"/>
  <c r="K110" i="5"/>
  <c r="L109" i="5"/>
  <c r="K109" i="5"/>
  <c r="J109" i="5"/>
  <c r="G109" i="5"/>
  <c r="L108" i="5"/>
  <c r="K108" i="5"/>
  <c r="J108" i="5"/>
  <c r="H108" i="5"/>
  <c r="G108" i="5"/>
  <c r="K107" i="5"/>
  <c r="L106" i="5"/>
  <c r="K106" i="5"/>
  <c r="J106" i="5"/>
  <c r="P106" i="5"/>
  <c r="I106" i="5" s="1"/>
  <c r="G106" i="5"/>
  <c r="L105" i="5"/>
  <c r="K105" i="5"/>
  <c r="H105" i="5"/>
  <c r="J105" i="5"/>
  <c r="G105" i="5"/>
  <c r="H104" i="5"/>
  <c r="L103" i="5"/>
  <c r="K103" i="5"/>
  <c r="J103" i="5"/>
  <c r="P103" i="5"/>
  <c r="I103" i="5" s="1"/>
  <c r="H103" i="5"/>
  <c r="L102" i="5"/>
  <c r="H102" i="5"/>
  <c r="P102" i="5"/>
  <c r="K102" i="5"/>
  <c r="J102" i="5"/>
  <c r="L101" i="5"/>
  <c r="K101" i="5"/>
  <c r="J101" i="5"/>
  <c r="H100" i="5"/>
  <c r="K100" i="5"/>
  <c r="L99" i="5"/>
  <c r="K99" i="5"/>
  <c r="J99" i="5"/>
  <c r="P99" i="5"/>
  <c r="I99" i="5" s="1"/>
  <c r="H99" i="5"/>
  <c r="G99" i="5"/>
  <c r="L98" i="5"/>
  <c r="J98" i="5"/>
  <c r="H98" i="5"/>
  <c r="K98" i="5"/>
  <c r="G98" i="5"/>
  <c r="K97" i="5"/>
  <c r="L96" i="5"/>
  <c r="K96" i="5"/>
  <c r="J96" i="5"/>
  <c r="P96" i="5"/>
  <c r="I96" i="5" s="1"/>
  <c r="G96" i="5"/>
  <c r="L95" i="5"/>
  <c r="J95" i="5"/>
  <c r="H95" i="5"/>
  <c r="K95" i="5"/>
  <c r="L94" i="5"/>
  <c r="K94" i="5"/>
  <c r="J94" i="5"/>
  <c r="G94" i="5"/>
  <c r="L93" i="5"/>
  <c r="K93" i="5"/>
  <c r="J93" i="5"/>
  <c r="P93" i="5"/>
  <c r="I93" i="5" s="1"/>
  <c r="H93" i="5"/>
  <c r="G93" i="5"/>
  <c r="J92" i="5"/>
  <c r="H92" i="5"/>
  <c r="L92" i="5"/>
  <c r="K92" i="5"/>
  <c r="L91" i="5"/>
  <c r="K91" i="5"/>
  <c r="J91" i="5"/>
  <c r="P91" i="5"/>
  <c r="I91" i="5" s="1"/>
  <c r="H91" i="5"/>
  <c r="G91" i="5"/>
  <c r="L90" i="5"/>
  <c r="H90" i="5"/>
  <c r="K90" i="5"/>
  <c r="J90" i="5"/>
  <c r="G90" i="5"/>
  <c r="K89" i="5"/>
  <c r="P89" i="5"/>
  <c r="M89" i="5" s="1"/>
  <c r="U89" i="5" s="1"/>
  <c r="L88" i="5"/>
  <c r="K88" i="5"/>
  <c r="H88" i="5"/>
  <c r="P88" i="5"/>
  <c r="I88" i="5" s="1"/>
  <c r="J88" i="5"/>
  <c r="J87" i="5"/>
  <c r="H87" i="5"/>
  <c r="P87" i="5"/>
  <c r="I87" i="5" s="1"/>
  <c r="L87" i="5"/>
  <c r="K87" i="5"/>
  <c r="K86" i="5"/>
  <c r="J86" i="5"/>
  <c r="H86" i="5"/>
  <c r="G86" i="5"/>
  <c r="L86" i="5"/>
  <c r="L85" i="5"/>
  <c r="K85" i="5"/>
  <c r="J85" i="5"/>
  <c r="G85" i="5"/>
  <c r="L84" i="5"/>
  <c r="J84" i="5"/>
  <c r="L83" i="5"/>
  <c r="K83" i="5"/>
  <c r="J83" i="5"/>
  <c r="H83" i="5"/>
  <c r="L82" i="5"/>
  <c r="P82" i="5"/>
  <c r="I82" i="5" s="1"/>
  <c r="J82" i="5"/>
  <c r="G82" i="5"/>
  <c r="L81" i="5"/>
  <c r="J81" i="5"/>
  <c r="H81" i="5"/>
  <c r="G81" i="5"/>
  <c r="K81" i="5"/>
  <c r="L80" i="5"/>
  <c r="K80" i="5"/>
  <c r="G80" i="5"/>
  <c r="J80" i="5"/>
  <c r="K79" i="5"/>
  <c r="J79" i="5"/>
  <c r="L78" i="5"/>
  <c r="H78" i="5"/>
  <c r="G78" i="5"/>
  <c r="L77" i="5"/>
  <c r="K77" i="5"/>
  <c r="G77" i="5"/>
  <c r="J77" i="5"/>
  <c r="H76" i="5"/>
  <c r="K76" i="5"/>
  <c r="J76" i="5"/>
  <c r="L75" i="5"/>
  <c r="J75" i="5"/>
  <c r="H75" i="5"/>
  <c r="G75" i="5"/>
  <c r="L74" i="5"/>
  <c r="K74" i="5"/>
  <c r="J74" i="5"/>
  <c r="P74" i="5"/>
  <c r="I74" i="5" s="1"/>
  <c r="K73" i="5"/>
  <c r="J73" i="5"/>
  <c r="H73" i="5"/>
  <c r="G73" i="5"/>
  <c r="K72" i="5"/>
  <c r="J72" i="5"/>
  <c r="G72" i="5"/>
  <c r="L72" i="5"/>
  <c r="H72" i="5"/>
  <c r="L71" i="5"/>
  <c r="K71" i="5"/>
  <c r="J71" i="5"/>
  <c r="G71" i="5"/>
  <c r="K70" i="5"/>
  <c r="J70" i="5"/>
  <c r="H70" i="5"/>
  <c r="P70" i="5"/>
  <c r="L70" i="5"/>
  <c r="L69" i="5"/>
  <c r="K69" i="5"/>
  <c r="J69" i="5"/>
  <c r="P69" i="5"/>
  <c r="I69" i="5"/>
  <c r="P68" i="5"/>
  <c r="G68" i="5"/>
  <c r="L68" i="5"/>
  <c r="K68" i="5"/>
  <c r="J68" i="5"/>
  <c r="H68" i="5"/>
  <c r="L67" i="5"/>
  <c r="J67" i="5"/>
  <c r="H67" i="5"/>
  <c r="K67" i="5"/>
  <c r="G67" i="5"/>
  <c r="L66" i="5"/>
  <c r="K66" i="5"/>
  <c r="J66" i="5"/>
  <c r="P66" i="5"/>
  <c r="I66" i="5" s="1"/>
  <c r="K65" i="5"/>
  <c r="J65" i="5"/>
  <c r="H65" i="5"/>
  <c r="P65" i="5"/>
  <c r="K64" i="5"/>
  <c r="J64" i="5"/>
  <c r="L64" i="5"/>
  <c r="H64" i="5"/>
  <c r="G64" i="5"/>
  <c r="L63" i="5"/>
  <c r="K63" i="5"/>
  <c r="J63" i="5"/>
  <c r="G63" i="5"/>
  <c r="L62" i="5"/>
  <c r="K62" i="5"/>
  <c r="H62" i="5"/>
  <c r="J62" i="5"/>
  <c r="L61" i="5"/>
  <c r="K61" i="5"/>
  <c r="J61" i="5"/>
  <c r="P61" i="5"/>
  <c r="I61" i="5" s="1"/>
  <c r="L60" i="5"/>
  <c r="P60" i="5"/>
  <c r="M60" i="5" s="1"/>
  <c r="F60" i="5" s="1"/>
  <c r="G60" i="5"/>
  <c r="K60" i="5"/>
  <c r="J60" i="5"/>
  <c r="H60" i="5"/>
  <c r="L59" i="5"/>
  <c r="K59" i="5"/>
  <c r="J59" i="5"/>
  <c r="H59" i="5"/>
  <c r="P59" i="5"/>
  <c r="I59" i="5" s="1"/>
  <c r="K58" i="5"/>
  <c r="J58" i="5"/>
  <c r="P58" i="5"/>
  <c r="I58" i="5" s="1"/>
  <c r="L58" i="5"/>
  <c r="L57" i="5"/>
  <c r="K57" i="5"/>
  <c r="P57" i="5"/>
  <c r="I57" i="5" s="1"/>
  <c r="H57" i="5"/>
  <c r="J57" i="5"/>
  <c r="L56" i="5"/>
  <c r="K56" i="5"/>
  <c r="J56" i="5"/>
  <c r="H56" i="5"/>
  <c r="P56" i="5"/>
  <c r="L55" i="5"/>
  <c r="K55" i="5"/>
  <c r="J55" i="5"/>
  <c r="P55" i="5"/>
  <c r="I55" i="5" s="1"/>
  <c r="L54" i="5"/>
  <c r="K54" i="5"/>
  <c r="J54" i="5"/>
  <c r="G54" i="5"/>
  <c r="H54" i="5"/>
  <c r="M61" i="5" l="1"/>
  <c r="U61" i="5" s="1"/>
  <c r="M55" i="5"/>
  <c r="F55" i="5" s="1"/>
  <c r="P131" i="5"/>
  <c r="M131" i="5" s="1"/>
  <c r="M116" i="5"/>
  <c r="F116" i="5" s="1"/>
  <c r="G57" i="5"/>
  <c r="P67" i="5"/>
  <c r="I67" i="5" s="1"/>
  <c r="P86" i="5"/>
  <c r="I86" i="5" s="1"/>
  <c r="G89" i="5"/>
  <c r="P100" i="5"/>
  <c r="M100" i="5" s="1"/>
  <c r="F100" i="5" s="1"/>
  <c r="P105" i="5"/>
  <c r="M105" i="5" s="1"/>
  <c r="F105" i="5" s="1"/>
  <c r="P119" i="5"/>
  <c r="I119" i="5" s="1"/>
  <c r="P75" i="5"/>
  <c r="I75" i="5" s="1"/>
  <c r="P78" i="5"/>
  <c r="I78" i="5" s="1"/>
  <c r="P108" i="5"/>
  <c r="I108" i="5" s="1"/>
  <c r="M64" i="5"/>
  <c r="F64" i="5" s="1"/>
  <c r="M132" i="5"/>
  <c r="F132" i="5" s="1"/>
  <c r="P62" i="5"/>
  <c r="M62" i="5" s="1"/>
  <c r="U100" i="5"/>
  <c r="P123" i="5"/>
  <c r="M123" i="5" s="1"/>
  <c r="F123" i="5" s="1"/>
  <c r="P126" i="5"/>
  <c r="M126" i="5" s="1"/>
  <c r="P135" i="5"/>
  <c r="I135" i="5" s="1"/>
  <c r="U57" i="5"/>
  <c r="G65" i="5"/>
  <c r="P73" i="5"/>
  <c r="M73" i="5" s="1"/>
  <c r="P92" i="5"/>
  <c r="P95" i="5"/>
  <c r="M95" i="5" s="1"/>
  <c r="F95" i="5" s="1"/>
  <c r="P98" i="5"/>
  <c r="G103" i="5"/>
  <c r="P64" i="5"/>
  <c r="I64" i="5" s="1"/>
  <c r="M103" i="5"/>
  <c r="F103" i="5" s="1"/>
  <c r="G59" i="5"/>
  <c r="M57" i="5"/>
  <c r="F57" i="5" s="1"/>
  <c r="G121" i="5"/>
  <c r="G127" i="5"/>
  <c r="M68" i="5"/>
  <c r="F68" i="5" s="1"/>
  <c r="P90" i="5"/>
  <c r="I90" i="5" s="1"/>
  <c r="P115" i="5"/>
  <c r="I115" i="5" s="1"/>
  <c r="G88" i="5"/>
  <c r="H96" i="5"/>
  <c r="P72" i="5"/>
  <c r="I72" i="5" s="1"/>
  <c r="P54" i="5"/>
  <c r="M54" i="5" s="1"/>
  <c r="F54" i="5" s="1"/>
  <c r="M74" i="5"/>
  <c r="F74" i="5" s="1"/>
  <c r="G113" i="5"/>
  <c r="M82" i="5"/>
  <c r="F82" i="5" s="1"/>
  <c r="P101" i="5"/>
  <c r="I101" i="5" s="1"/>
  <c r="P107" i="5"/>
  <c r="I107" i="5" s="1"/>
  <c r="U60" i="5"/>
  <c r="M66" i="5"/>
  <c r="F66" i="5" s="1"/>
  <c r="P110" i="5"/>
  <c r="I110" i="5" s="1"/>
  <c r="I116" i="5"/>
  <c r="M69" i="5"/>
  <c r="U69" i="5" s="1"/>
  <c r="I56" i="5"/>
  <c r="M56" i="5"/>
  <c r="M58" i="5"/>
  <c r="F58" i="5" s="1"/>
  <c r="I70" i="5"/>
  <c r="M70" i="5"/>
  <c r="M65" i="5"/>
  <c r="I65" i="5"/>
  <c r="I121" i="5"/>
  <c r="M121" i="5"/>
  <c r="F121" i="5" s="1"/>
  <c r="G58" i="5"/>
  <c r="I60" i="5"/>
  <c r="H63" i="5"/>
  <c r="P63" i="5"/>
  <c r="I63" i="5" s="1"/>
  <c r="G66" i="5"/>
  <c r="I68" i="5"/>
  <c r="H71" i="5"/>
  <c r="P71" i="5"/>
  <c r="I71" i="5" s="1"/>
  <c r="G74" i="5"/>
  <c r="L76" i="5"/>
  <c r="L79" i="5"/>
  <c r="K82" i="5"/>
  <c r="L89" i="5"/>
  <c r="J89" i="5"/>
  <c r="M93" i="5"/>
  <c r="F93" i="5" s="1"/>
  <c r="I98" i="5"/>
  <c r="M98" i="5"/>
  <c r="F98" i="5" s="1"/>
  <c r="J100" i="5"/>
  <c r="H101" i="5"/>
  <c r="L120" i="5"/>
  <c r="J120" i="5"/>
  <c r="P128" i="5"/>
  <c r="G128" i="5"/>
  <c r="H125" i="5"/>
  <c r="G55" i="5"/>
  <c r="H58" i="5"/>
  <c r="M59" i="5"/>
  <c r="F59" i="5" s="1"/>
  <c r="G61" i="5"/>
  <c r="H66" i="5"/>
  <c r="G69" i="5"/>
  <c r="H74" i="5"/>
  <c r="P84" i="5"/>
  <c r="I84" i="5" s="1"/>
  <c r="P85" i="5"/>
  <c r="I85" i="5" s="1"/>
  <c r="H85" i="5"/>
  <c r="M87" i="5"/>
  <c r="F87" i="5" s="1"/>
  <c r="M88" i="5"/>
  <c r="F88" i="5" s="1"/>
  <c r="F89" i="5"/>
  <c r="L97" i="5"/>
  <c r="J97" i="5"/>
  <c r="P104" i="5"/>
  <c r="G104" i="5"/>
  <c r="M106" i="5"/>
  <c r="F106" i="5" s="1"/>
  <c r="L107" i="5"/>
  <c r="K112" i="5"/>
  <c r="P117" i="5"/>
  <c r="I117" i="5" s="1"/>
  <c r="M130" i="5"/>
  <c r="F130" i="5" s="1"/>
  <c r="L131" i="5"/>
  <c r="P136" i="5"/>
  <c r="I136" i="5" s="1"/>
  <c r="G136" i="5"/>
  <c r="H55" i="5"/>
  <c r="H61" i="5"/>
  <c r="L65" i="5"/>
  <c r="H69" i="5"/>
  <c r="L73" i="5"/>
  <c r="P76" i="5"/>
  <c r="I76" i="5" s="1"/>
  <c r="P79" i="5"/>
  <c r="G79" i="5"/>
  <c r="H84" i="5"/>
  <c r="P94" i="5"/>
  <c r="I94" i="5" s="1"/>
  <c r="M96" i="5"/>
  <c r="F96" i="5" s="1"/>
  <c r="I102" i="5"/>
  <c r="M102" i="5"/>
  <c r="F102" i="5" s="1"/>
  <c r="I113" i="5"/>
  <c r="M113" i="5"/>
  <c r="F113" i="5" s="1"/>
  <c r="H117" i="5"/>
  <c r="H79" i="5"/>
  <c r="H94" i="5"/>
  <c r="L112" i="5"/>
  <c r="J112" i="5"/>
  <c r="P120" i="5"/>
  <c r="G120" i="5"/>
  <c r="L123" i="5"/>
  <c r="I131" i="5"/>
  <c r="P133" i="5"/>
  <c r="I133" i="5" s="1"/>
  <c r="H133" i="5"/>
  <c r="I134" i="5"/>
  <c r="M134" i="5"/>
  <c r="F134" i="5" s="1"/>
  <c r="G56" i="5"/>
  <c r="G62" i="5"/>
  <c r="G70" i="5"/>
  <c r="K75" i="5"/>
  <c r="G76" i="5"/>
  <c r="P77" i="5"/>
  <c r="I77" i="5" s="1"/>
  <c r="J78" i="5"/>
  <c r="P80" i="5"/>
  <c r="I80" i="5" s="1"/>
  <c r="P81" i="5"/>
  <c r="I81" i="5" s="1"/>
  <c r="P83" i="5"/>
  <c r="I83" i="5" s="1"/>
  <c r="K84" i="5"/>
  <c r="I89" i="5"/>
  <c r="P97" i="5"/>
  <c r="G97" i="5"/>
  <c r="M99" i="5"/>
  <c r="F99" i="5" s="1"/>
  <c r="L100" i="5"/>
  <c r="K104" i="5"/>
  <c r="H107" i="5"/>
  <c r="P109" i="5"/>
  <c r="I109" i="5" s="1"/>
  <c r="M111" i="5"/>
  <c r="F111" i="5" s="1"/>
  <c r="I118" i="5"/>
  <c r="M118" i="5"/>
  <c r="F118" i="5" s="1"/>
  <c r="H120" i="5"/>
  <c r="P122" i="5"/>
  <c r="I122" i="5" s="1"/>
  <c r="M124" i="5"/>
  <c r="F124" i="5" s="1"/>
  <c r="H131" i="5"/>
  <c r="H77" i="5"/>
  <c r="K78" i="5"/>
  <c r="H82" i="5"/>
  <c r="G83" i="5"/>
  <c r="G84" i="5"/>
  <c r="H89" i="5"/>
  <c r="H97" i="5"/>
  <c r="J107" i="5"/>
  <c r="H109" i="5"/>
  <c r="L128" i="5"/>
  <c r="J128" i="5"/>
  <c r="J131" i="5"/>
  <c r="I132" i="5"/>
  <c r="H80" i="5"/>
  <c r="M91" i="5"/>
  <c r="F91" i="5" s="1"/>
  <c r="G101" i="5"/>
  <c r="L104" i="5"/>
  <c r="J104" i="5"/>
  <c r="H106" i="5"/>
  <c r="P112" i="5"/>
  <c r="G112" i="5"/>
  <c r="M114" i="5"/>
  <c r="F114" i="5" s="1"/>
  <c r="L115" i="5"/>
  <c r="K120" i="5"/>
  <c r="H123" i="5"/>
  <c r="P125" i="5"/>
  <c r="I125" i="5" s="1"/>
  <c r="M127" i="5"/>
  <c r="F127" i="5" s="1"/>
  <c r="H130" i="5"/>
  <c r="G92" i="5"/>
  <c r="G100" i="5"/>
  <c r="G107" i="5"/>
  <c r="G115" i="5"/>
  <c r="G123" i="5"/>
  <c r="M129" i="5"/>
  <c r="F129" i="5" s="1"/>
  <c r="G131" i="5"/>
  <c r="H136" i="5"/>
  <c r="G87" i="5"/>
  <c r="G95" i="5"/>
  <c r="G102" i="5"/>
  <c r="G110" i="5"/>
  <c r="G118" i="5"/>
  <c r="G126" i="5"/>
  <c r="G134" i="5"/>
  <c r="G132" i="5"/>
  <c r="F61" i="5" l="1"/>
  <c r="M77" i="5"/>
  <c r="F77" i="5" s="1"/>
  <c r="I105" i="5"/>
  <c r="M90" i="5"/>
  <c r="F90" i="5" s="1"/>
  <c r="M85" i="5"/>
  <c r="F85" i="5" s="1"/>
  <c r="I95" i="5"/>
  <c r="M101" i="5"/>
  <c r="U55" i="5"/>
  <c r="M110" i="5"/>
  <c r="F110" i="5" s="1"/>
  <c r="M67" i="5"/>
  <c r="F67" i="5" s="1"/>
  <c r="U66" i="5"/>
  <c r="U103" i="5"/>
  <c r="U116" i="5"/>
  <c r="I123" i="5"/>
  <c r="U82" i="5"/>
  <c r="I62" i="5"/>
  <c r="U110" i="5"/>
  <c r="I73" i="5"/>
  <c r="U93" i="5"/>
  <c r="U98" i="5"/>
  <c r="M71" i="5"/>
  <c r="F71" i="5" s="1"/>
  <c r="U85" i="5"/>
  <c r="M117" i="5"/>
  <c r="F117" i="5" s="1"/>
  <c r="U64" i="5"/>
  <c r="M75" i="5"/>
  <c r="F75" i="5" s="1"/>
  <c r="F126" i="5"/>
  <c r="U126" i="5"/>
  <c r="F131" i="5"/>
  <c r="U131" i="5"/>
  <c r="U102" i="5"/>
  <c r="I100" i="5"/>
  <c r="M86" i="5"/>
  <c r="I126" i="5"/>
  <c r="U127" i="5"/>
  <c r="I54" i="5"/>
  <c r="M115" i="5"/>
  <c r="U74" i="5"/>
  <c r="M76" i="5"/>
  <c r="F76" i="5" s="1"/>
  <c r="U123" i="5"/>
  <c r="M72" i="5"/>
  <c r="M119" i="5"/>
  <c r="F119" i="5" s="1"/>
  <c r="I92" i="5"/>
  <c r="M92" i="5"/>
  <c r="M135" i="5"/>
  <c r="U106" i="5"/>
  <c r="M78" i="5"/>
  <c r="M136" i="5"/>
  <c r="F136" i="5" s="1"/>
  <c r="U68" i="5"/>
  <c r="U54" i="5"/>
  <c r="U132" i="5"/>
  <c r="F69" i="5"/>
  <c r="M108" i="5"/>
  <c r="U130" i="5"/>
  <c r="M107" i="5"/>
  <c r="F107" i="5" s="1"/>
  <c r="F70" i="5"/>
  <c r="U70" i="5"/>
  <c r="M80" i="5"/>
  <c r="U95" i="5"/>
  <c r="M83" i="5"/>
  <c r="I128" i="5"/>
  <c r="M128" i="5"/>
  <c r="U59" i="5"/>
  <c r="F56" i="5"/>
  <c r="U56" i="5"/>
  <c r="U121" i="5"/>
  <c r="M133" i="5"/>
  <c r="U114" i="5"/>
  <c r="M81" i="5"/>
  <c r="U124" i="5"/>
  <c r="U77" i="5"/>
  <c r="F65" i="5"/>
  <c r="U65" i="5"/>
  <c r="F62" i="5"/>
  <c r="U62" i="5"/>
  <c r="I112" i="5"/>
  <c r="M112" i="5"/>
  <c r="I104" i="5"/>
  <c r="M104" i="5"/>
  <c r="M84" i="5"/>
  <c r="U90" i="5"/>
  <c r="U118" i="5"/>
  <c r="U88" i="5"/>
  <c r="U105" i="5"/>
  <c r="I79" i="5"/>
  <c r="M79" i="5"/>
  <c r="U99" i="5"/>
  <c r="M125" i="5"/>
  <c r="U113" i="5"/>
  <c r="M63" i="5"/>
  <c r="U76" i="5"/>
  <c r="I120" i="5"/>
  <c r="M120" i="5"/>
  <c r="M109" i="5"/>
  <c r="M122" i="5"/>
  <c r="M94" i="5"/>
  <c r="U129" i="5"/>
  <c r="U96" i="5"/>
  <c r="I97" i="5"/>
  <c r="M97" i="5"/>
  <c r="U91" i="5"/>
  <c r="U111" i="5"/>
  <c r="U134" i="5"/>
  <c r="U101" i="5"/>
  <c r="F101" i="5"/>
  <c r="F73" i="5"/>
  <c r="U73" i="5"/>
  <c r="U87" i="5"/>
  <c r="U58" i="5"/>
  <c r="U117" i="5" l="1"/>
  <c r="U67" i="5"/>
  <c r="U71" i="5"/>
  <c r="U75" i="5"/>
  <c r="U107" i="5"/>
  <c r="F78" i="5"/>
  <c r="U78" i="5"/>
  <c r="U119" i="5"/>
  <c r="F86" i="5"/>
  <c r="U86" i="5"/>
  <c r="F135" i="5"/>
  <c r="U135" i="5"/>
  <c r="F92" i="5"/>
  <c r="U92" i="5"/>
  <c r="F72" i="5"/>
  <c r="U72" i="5"/>
  <c r="F115" i="5"/>
  <c r="U115" i="5"/>
  <c r="U136" i="5"/>
  <c r="F108" i="5"/>
  <c r="U108" i="5"/>
  <c r="U109" i="5"/>
  <c r="F109" i="5"/>
  <c r="U104" i="5"/>
  <c r="F104" i="5"/>
  <c r="U120" i="5"/>
  <c r="F120" i="5"/>
  <c r="F79" i="5"/>
  <c r="U79" i="5"/>
  <c r="U128" i="5"/>
  <c r="F128" i="5"/>
  <c r="U112" i="5"/>
  <c r="F112" i="5"/>
  <c r="F81" i="5"/>
  <c r="U81" i="5"/>
  <c r="U97" i="5"/>
  <c r="F97" i="5"/>
  <c r="F63" i="5"/>
  <c r="U63" i="5"/>
  <c r="U94" i="5"/>
  <c r="F94" i="5"/>
  <c r="F83" i="5"/>
  <c r="U83" i="5"/>
  <c r="F133" i="5"/>
  <c r="U133" i="5"/>
  <c r="F80" i="5"/>
  <c r="U80" i="5"/>
  <c r="F122" i="5"/>
  <c r="U122" i="5"/>
  <c r="U125" i="5"/>
  <c r="F125" i="5"/>
  <c r="F84" i="5"/>
  <c r="U84" i="5"/>
  <c r="G6" i="7" l="1"/>
  <c r="C7" i="7" l="1"/>
  <c r="C11" i="7" l="1"/>
  <c r="C10" i="7" l="1"/>
  <c r="G28" i="7"/>
  <c r="G13" i="7" l="1"/>
  <c r="C12" i="7"/>
  <c r="G24" i="7"/>
  <c r="J10" i="7" s="1"/>
  <c r="D12" i="6" l="1"/>
  <c r="D23" i="6"/>
  <c r="D24" i="6" s="1"/>
  <c r="D26" i="6" s="1"/>
  <c r="D28" i="6" l="1"/>
  <c r="C12" i="6" s="1"/>
  <c r="H12" i="6" l="1"/>
  <c r="E10" i="5" l="1"/>
  <c r="G5" i="5"/>
  <c r="C9" i="2"/>
  <c r="C8" i="2"/>
  <c r="C7" i="2"/>
  <c r="C6" i="2"/>
  <c r="L30" i="5" l="1"/>
  <c r="L44" i="5"/>
  <c r="J18" i="5"/>
  <c r="K37" i="5"/>
  <c r="K43" i="5"/>
  <c r="L34" i="5"/>
  <c r="H19" i="5"/>
  <c r="K14" i="5"/>
  <c r="K19" i="5"/>
  <c r="H44" i="5"/>
  <c r="K45" i="5"/>
  <c r="K35" i="5"/>
  <c r="G52" i="5"/>
  <c r="K24" i="5"/>
  <c r="J27" i="5"/>
  <c r="K23" i="5"/>
  <c r="H29" i="5"/>
  <c r="K15" i="5"/>
  <c r="K22" i="5"/>
  <c r="K25" i="5"/>
  <c r="H18" i="5"/>
  <c r="J40" i="5"/>
  <c r="H35" i="5"/>
  <c r="K31" i="5"/>
  <c r="H39" i="5"/>
  <c r="K36" i="5"/>
  <c r="J48" i="5"/>
  <c r="L39" i="5"/>
  <c r="L26" i="5"/>
  <c r="G23" i="5"/>
  <c r="J30" i="5"/>
  <c r="L49" i="5"/>
  <c r="L40" i="5"/>
  <c r="L18" i="5"/>
  <c r="J16" i="5"/>
  <c r="L22" i="5"/>
  <c r="L16" i="5"/>
  <c r="L38" i="5"/>
  <c r="L46" i="5"/>
  <c r="L50" i="5"/>
  <c r="K16" i="5"/>
  <c r="H42" i="5"/>
  <c r="J38" i="5"/>
  <c r="L25" i="5"/>
  <c r="L33" i="5"/>
  <c r="L31" i="5"/>
  <c r="K44" i="5"/>
  <c r="L15" i="5"/>
  <c r="G48" i="5"/>
  <c r="L37" i="5"/>
  <c r="H34" i="5"/>
  <c r="J28" i="5"/>
  <c r="G27" i="5"/>
  <c r="L29" i="5"/>
  <c r="L52" i="5"/>
  <c r="G33" i="5"/>
  <c r="L47" i="5"/>
  <c r="G49" i="5"/>
  <c r="G36" i="5"/>
  <c r="H53" i="5" l="1"/>
  <c r="H52" i="5"/>
  <c r="L51" i="5"/>
  <c r="J41" i="5"/>
  <c r="L43" i="5"/>
  <c r="J24" i="5"/>
  <c r="H48" i="5"/>
  <c r="J15" i="5"/>
  <c r="L23" i="5"/>
  <c r="J22" i="5"/>
  <c r="H32" i="5"/>
  <c r="G47" i="5"/>
  <c r="L28" i="5"/>
  <c r="K53" i="5"/>
  <c r="L45" i="5"/>
  <c r="L35" i="5"/>
  <c r="L24" i="5"/>
  <c r="G39" i="5"/>
  <c r="H37" i="5"/>
  <c r="H45" i="5"/>
  <c r="J49" i="5"/>
  <c r="H22" i="5"/>
  <c r="J52" i="5"/>
  <c r="G28" i="5"/>
  <c r="J53" i="5"/>
  <c r="L53" i="5"/>
  <c r="J43" i="5"/>
  <c r="K18" i="5"/>
  <c r="K49" i="5"/>
  <c r="K52" i="5"/>
  <c r="G45" i="5"/>
  <c r="G50" i="5"/>
  <c r="L27" i="5"/>
  <c r="H28" i="5"/>
  <c r="H51" i="5"/>
  <c r="K33" i="5"/>
  <c r="K17" i="5"/>
  <c r="L41" i="5"/>
  <c r="L17" i="5"/>
  <c r="L42" i="5"/>
  <c r="J46" i="5"/>
  <c r="J21" i="5"/>
  <c r="G20" i="5"/>
  <c r="P39" i="5"/>
  <c r="I39" i="5" s="1"/>
  <c r="G24" i="5"/>
  <c r="H33" i="5"/>
  <c r="J37" i="5"/>
  <c r="G18" i="5"/>
  <c r="J19" i="5"/>
  <c r="H40" i="5"/>
  <c r="K50" i="5"/>
  <c r="H27" i="5"/>
  <c r="L19" i="5"/>
  <c r="G30" i="5"/>
  <c r="K40" i="5"/>
  <c r="K28" i="5"/>
  <c r="G16" i="5"/>
  <c r="H25" i="5"/>
  <c r="L36" i="5"/>
  <c r="H47" i="5"/>
  <c r="G46" i="5"/>
  <c r="K47" i="5"/>
  <c r="K39" i="5"/>
  <c r="G19" i="5"/>
  <c r="J29" i="5"/>
  <c r="K51" i="5"/>
  <c r="K46" i="5"/>
  <c r="K38" i="5"/>
  <c r="G29" i="5"/>
  <c r="J34" i="5"/>
  <c r="H49" i="5"/>
  <c r="H20" i="5"/>
  <c r="K20" i="5"/>
  <c r="L20" i="5"/>
  <c r="G31" i="5"/>
  <c r="K41" i="5"/>
  <c r="G21" i="5"/>
  <c r="J31" i="5"/>
  <c r="H31" i="5"/>
  <c r="H16" i="5"/>
  <c r="K27" i="5"/>
  <c r="G38" i="5"/>
  <c r="K48" i="5"/>
  <c r="J47" i="5"/>
  <c r="J20" i="5"/>
  <c r="H41" i="5"/>
  <c r="P52" i="5"/>
  <c r="I52" i="5" s="1"/>
  <c r="H15" i="5"/>
  <c r="G37" i="5"/>
  <c r="K29" i="5"/>
  <c r="G40" i="5"/>
  <c r="J50" i="5"/>
  <c r="G22" i="5"/>
  <c r="J32" i="5"/>
  <c r="L32" i="5"/>
  <c r="G43" i="5"/>
  <c r="G15" i="5"/>
  <c r="K32" i="5"/>
  <c r="J17" i="5"/>
  <c r="J39" i="5"/>
  <c r="L48" i="5"/>
  <c r="H50" i="5"/>
  <c r="H24" i="5"/>
  <c r="L21" i="5"/>
  <c r="G32" i="5"/>
  <c r="J42" i="5"/>
  <c r="G17" i="5"/>
  <c r="H46" i="5"/>
  <c r="G41" i="5"/>
  <c r="H23" i="5"/>
  <c r="J23" i="5"/>
  <c r="G44" i="5"/>
  <c r="J36" i="5"/>
  <c r="G34" i="5"/>
  <c r="J44" i="5"/>
  <c r="G35" i="5"/>
  <c r="H30" i="5"/>
  <c r="G51" i="5"/>
  <c r="J51" i="5"/>
  <c r="K26" i="5"/>
  <c r="J33" i="5"/>
  <c r="J14" i="5"/>
  <c r="J35" i="5"/>
  <c r="T10" i="5"/>
  <c r="K21" i="5"/>
  <c r="K42" i="5"/>
  <c r="J26" i="5"/>
  <c r="J45" i="5"/>
  <c r="G25" i="5"/>
  <c r="H38" i="5"/>
  <c r="G42" i="5"/>
  <c r="K30" i="5"/>
  <c r="K34" i="5"/>
  <c r="G14" i="5"/>
  <c r="G26" i="5"/>
  <c r="L14" i="5"/>
  <c r="J25" i="5"/>
  <c r="H26" i="5"/>
  <c r="H17" i="5"/>
  <c r="H21" i="5"/>
  <c r="H43" i="5"/>
  <c r="H14" i="5"/>
  <c r="P48" i="5" l="1"/>
  <c r="I48" i="5" s="1"/>
  <c r="P33" i="5"/>
  <c r="I33" i="5" s="1"/>
  <c r="P28" i="5"/>
  <c r="I28" i="5" s="1"/>
  <c r="P45" i="5"/>
  <c r="I45" i="5" s="1"/>
  <c r="P53" i="5"/>
  <c r="G53" i="5"/>
  <c r="P36" i="5"/>
  <c r="I36" i="5" s="1"/>
  <c r="H36" i="5"/>
  <c r="P49" i="5"/>
  <c r="M52" i="5"/>
  <c r="P23" i="5"/>
  <c r="I23" i="5" s="1"/>
  <c r="M33" i="5"/>
  <c r="F33" i="5" s="1"/>
  <c r="P42" i="5"/>
  <c r="I42" i="5" s="1"/>
  <c r="M39" i="5"/>
  <c r="F39" i="5" s="1"/>
  <c r="P16" i="5"/>
  <c r="I16" i="5" s="1"/>
  <c r="P40" i="5"/>
  <c r="I40" i="5" s="1"/>
  <c r="P26" i="5"/>
  <c r="I26" i="5" s="1"/>
  <c r="P44" i="5"/>
  <c r="I44" i="5" s="1"/>
  <c r="P37" i="5"/>
  <c r="I37" i="5" s="1"/>
  <c r="P19" i="5"/>
  <c r="I19" i="5" s="1"/>
  <c r="R10" i="5"/>
  <c r="P43" i="5"/>
  <c r="I43" i="5" s="1"/>
  <c r="P25" i="5"/>
  <c r="I25" i="5" s="1"/>
  <c r="P51" i="5"/>
  <c r="I51" i="5" s="1"/>
  <c r="P21" i="5"/>
  <c r="I21" i="5" s="1"/>
  <c r="P18" i="5"/>
  <c r="I18" i="5" s="1"/>
  <c r="P50" i="5"/>
  <c r="I50" i="5" s="1"/>
  <c r="O10" i="5"/>
  <c r="P17" i="5"/>
  <c r="I17" i="5" s="1"/>
  <c r="P38" i="5"/>
  <c r="I38" i="5" s="1"/>
  <c r="P29" i="5"/>
  <c r="I29" i="5" s="1"/>
  <c r="S10" i="5"/>
  <c r="P22" i="5"/>
  <c r="I22" i="5" s="1"/>
  <c r="P31" i="5"/>
  <c r="I31" i="5" s="1"/>
  <c r="P46" i="5"/>
  <c r="I46" i="5" s="1"/>
  <c r="P30" i="5"/>
  <c r="I30" i="5" s="1"/>
  <c r="P35" i="5"/>
  <c r="I35" i="5" s="1"/>
  <c r="M45" i="5"/>
  <c r="F45" i="5" s="1"/>
  <c r="P14" i="5"/>
  <c r="I14" i="5" s="1"/>
  <c r="N10" i="5"/>
  <c r="M48" i="5"/>
  <c r="F48" i="5" s="1"/>
  <c r="P41" i="5"/>
  <c r="I41" i="5" s="1"/>
  <c r="P32" i="5"/>
  <c r="I32" i="5" s="1"/>
  <c r="P24" i="5"/>
  <c r="I24" i="5" s="1"/>
  <c r="P47" i="5"/>
  <c r="I47" i="5" s="1"/>
  <c r="Q10" i="5"/>
  <c r="P34" i="5"/>
  <c r="I34" i="5" s="1"/>
  <c r="P15" i="5"/>
  <c r="I15" i="5" s="1"/>
  <c r="P27" i="5"/>
  <c r="I27" i="5" s="1"/>
  <c r="M27" i="5"/>
  <c r="F27" i="5" s="1"/>
  <c r="P20" i="5"/>
  <c r="I20" i="5" s="1"/>
  <c r="M28" i="5" l="1"/>
  <c r="F28" i="5" s="1"/>
  <c r="G10" i="5"/>
  <c r="C20" i="7" s="1"/>
  <c r="M36" i="5"/>
  <c r="F36" i="5" s="1"/>
  <c r="U52" i="5"/>
  <c r="F52" i="5"/>
  <c r="M49" i="5"/>
  <c r="F49" i="5" s="1"/>
  <c r="I49" i="5"/>
  <c r="I53" i="5"/>
  <c r="M53" i="5"/>
  <c r="M31" i="5"/>
  <c r="M47" i="5"/>
  <c r="F47" i="5" s="1"/>
  <c r="M21" i="5"/>
  <c r="F21" i="5" s="1"/>
  <c r="M43" i="5"/>
  <c r="F43" i="5" s="1"/>
  <c r="M24" i="5"/>
  <c r="F24" i="5" s="1"/>
  <c r="U48" i="5"/>
  <c r="M30" i="5"/>
  <c r="F30" i="5" s="1"/>
  <c r="M34" i="5"/>
  <c r="F34" i="5" s="1"/>
  <c r="M14" i="5"/>
  <c r="F14" i="5" s="1"/>
  <c r="P10" i="5"/>
  <c r="M50" i="5"/>
  <c r="F50" i="5" s="1"/>
  <c r="U27" i="5"/>
  <c r="J10" i="5"/>
  <c r="Q11" i="5"/>
  <c r="M32" i="5"/>
  <c r="F32" i="5" s="1"/>
  <c r="M29" i="5"/>
  <c r="F29" i="5" s="1"/>
  <c r="M37" i="5"/>
  <c r="F37" i="5" s="1"/>
  <c r="M40" i="5"/>
  <c r="F40" i="5" s="1"/>
  <c r="U39" i="5"/>
  <c r="U45" i="5"/>
  <c r="M18" i="5"/>
  <c r="F18" i="5" s="1"/>
  <c r="M20" i="5"/>
  <c r="F20" i="5" s="1"/>
  <c r="M41" i="5"/>
  <c r="F41" i="5" s="1"/>
  <c r="M35" i="5"/>
  <c r="F35" i="5" s="1"/>
  <c r="M22" i="5"/>
  <c r="F22" i="5" s="1"/>
  <c r="M38" i="5"/>
  <c r="F38" i="5" s="1"/>
  <c r="M44" i="5"/>
  <c r="F44" i="5" s="1"/>
  <c r="M26" i="5"/>
  <c r="F26" i="5" s="1"/>
  <c r="M42" i="5"/>
  <c r="F42" i="5" s="1"/>
  <c r="L10" i="5"/>
  <c r="S11" i="5"/>
  <c r="M17" i="5"/>
  <c r="F17" i="5" s="1"/>
  <c r="K10" i="5"/>
  <c r="R11" i="5"/>
  <c r="U33" i="5"/>
  <c r="M15" i="5"/>
  <c r="F15" i="5" s="1"/>
  <c r="O11" i="5"/>
  <c r="H10" i="5"/>
  <c r="M51" i="5"/>
  <c r="F51" i="5" s="1"/>
  <c r="M16" i="5"/>
  <c r="F16" i="5" s="1"/>
  <c r="M23" i="5"/>
  <c r="F23" i="5" s="1"/>
  <c r="M46" i="5"/>
  <c r="F46" i="5" s="1"/>
  <c r="M25" i="5"/>
  <c r="F25" i="5" s="1"/>
  <c r="M19" i="5"/>
  <c r="F19" i="5" s="1"/>
  <c r="F6" i="5" l="1"/>
  <c r="U49" i="5"/>
  <c r="G4" i="5"/>
  <c r="G3" i="5" s="1"/>
  <c r="U28" i="5"/>
  <c r="U36" i="5"/>
  <c r="U47" i="5"/>
  <c r="U31" i="5"/>
  <c r="F31" i="5"/>
  <c r="H11" i="5"/>
  <c r="C22" i="7"/>
  <c r="L11" i="5"/>
  <c r="D18" i="6"/>
  <c r="C27" i="7"/>
  <c r="J14" i="7" s="1"/>
  <c r="F53" i="5"/>
  <c r="U53" i="5"/>
  <c r="J11" i="5"/>
  <c r="C25" i="7"/>
  <c r="G27" i="7" s="1"/>
  <c r="G29" i="7" s="1"/>
  <c r="J11" i="7" s="1"/>
  <c r="D13" i="6" s="1"/>
  <c r="C13" i="6" s="1"/>
  <c r="K11" i="5"/>
  <c r="C8" i="7"/>
  <c r="G33" i="7" s="1"/>
  <c r="C26" i="7"/>
  <c r="G32" i="7" s="1"/>
  <c r="U51" i="5"/>
  <c r="U35" i="5"/>
  <c r="U29" i="5"/>
  <c r="U30" i="5"/>
  <c r="U43" i="5"/>
  <c r="U26" i="5"/>
  <c r="U50" i="5"/>
  <c r="U17" i="5"/>
  <c r="U44" i="5"/>
  <c r="U32" i="5"/>
  <c r="I10" i="5"/>
  <c r="P11" i="5"/>
  <c r="U21" i="5"/>
  <c r="U19" i="5"/>
  <c r="U41" i="5"/>
  <c r="U25" i="5"/>
  <c r="U23" i="5"/>
  <c r="U15" i="5"/>
  <c r="U20" i="5"/>
  <c r="U40" i="5"/>
  <c r="U14" i="5"/>
  <c r="M10" i="5"/>
  <c r="F10" i="5" s="1"/>
  <c r="F4" i="5" s="1"/>
  <c r="C19" i="7" s="1"/>
  <c r="U24" i="5"/>
  <c r="U38" i="5"/>
  <c r="U18" i="5"/>
  <c r="U34" i="5"/>
  <c r="U46" i="5"/>
  <c r="U16" i="5"/>
  <c r="U37" i="5"/>
  <c r="U42" i="5"/>
  <c r="U22" i="5"/>
  <c r="G34" i="7" l="1"/>
  <c r="J12" i="7" s="1"/>
  <c r="D14" i="6" s="1"/>
  <c r="C14" i="6" s="1"/>
  <c r="H14" i="6" s="1"/>
  <c r="I11" i="5"/>
  <c r="C23" i="7"/>
  <c r="C24" i="7" s="1"/>
  <c r="G21" i="7"/>
  <c r="J8" i="7" s="1"/>
  <c r="F3" i="5"/>
  <c r="U10" i="5"/>
  <c r="C28" i="7" l="1"/>
  <c r="C31" i="7" s="1"/>
  <c r="C32" i="7"/>
  <c r="D10" i="6"/>
  <c r="C10" i="6" s="1"/>
  <c r="G14" i="7"/>
  <c r="G15" i="7" s="1"/>
  <c r="J7" i="7" s="1"/>
  <c r="G18" i="7"/>
  <c r="J9" i="7" s="1"/>
  <c r="D11" i="6" s="1"/>
  <c r="C11" i="6" s="1"/>
  <c r="D16" i="6"/>
  <c r="J17" i="7"/>
  <c r="H11" i="6" l="1"/>
  <c r="D9" i="6"/>
  <c r="J13" i="7"/>
  <c r="J15" i="7" s="1"/>
  <c r="J18" i="7" s="1"/>
  <c r="H10" i="6"/>
  <c r="C9" i="6" l="1"/>
  <c r="D15" i="6"/>
  <c r="D17" i="6" s="1"/>
  <c r="D19" i="6" s="1"/>
  <c r="H9" i="6" l="1"/>
  <c r="H13" i="6" s="1"/>
  <c r="H15" i="6" s="1"/>
  <c r="C15" i="6"/>
  <c r="E9" i="6" s="1"/>
  <c r="E12" i="6" l="1"/>
  <c r="E15" i="6"/>
  <c r="E13" i="6"/>
  <c r="E14" i="6"/>
  <c r="E11" i="6"/>
  <c r="E10" i="6"/>
</calcChain>
</file>

<file path=xl/sharedStrings.xml><?xml version="1.0" encoding="utf-8"?>
<sst xmlns="http://schemas.openxmlformats.org/spreadsheetml/2006/main" count="420" uniqueCount="328">
  <si>
    <t xml:space="preserve">SDG&amp;E Covered Conductor </t>
  </si>
  <si>
    <t>($ Capital Expenditures, Fully Loaded with AFUDC)</t>
  </si>
  <si>
    <t>Current 2024 Submission</t>
  </si>
  <si>
    <t>Cost Components</t>
  </si>
  <si>
    <t>SDG&amp;E</t>
  </si>
  <si>
    <t>Direct Costs Category</t>
  </si>
  <si>
    <t>$ Amount</t>
  </si>
  <si>
    <t>Cost per Circuit Mile</t>
  </si>
  <si>
    <t>%</t>
  </si>
  <si>
    <t>Labor (Internal)</t>
  </si>
  <si>
    <t>Materials</t>
  </si>
  <si>
    <t>Contractor</t>
  </si>
  <si>
    <t>Overhead (division, corporate, etc.)</t>
  </si>
  <si>
    <t>Other</t>
  </si>
  <si>
    <t>Total Direct Cost per Mile 2023 $</t>
  </si>
  <si>
    <t>Financing Costs</t>
  </si>
  <si>
    <t>Indirects &amp; AFUDC</t>
  </si>
  <si>
    <t>Total</t>
  </si>
  <si>
    <t>Total Cost per Mile</t>
  </si>
  <si>
    <t>Check Total Cost per Mile</t>
  </si>
  <si>
    <t>Variance</t>
  </si>
  <si>
    <t>O&amp;M Check</t>
  </si>
  <si>
    <t>Difference (Over/Under)</t>
  </si>
  <si>
    <t>Prior Cost per Mile</t>
  </si>
  <si>
    <t>$</t>
  </si>
  <si>
    <t>Labor</t>
  </si>
  <si>
    <t>Total Engineering/Design/PM</t>
  </si>
  <si>
    <t>Labor as a % of Total Engineering</t>
  </si>
  <si>
    <t>Total Overhead (division, corporate, etc.)</t>
  </si>
  <si>
    <t>Cost per Mile Summary</t>
  </si>
  <si>
    <t>Calculations</t>
  </si>
  <si>
    <t>Engineering/Design</t>
  </si>
  <si>
    <t>Category</t>
  </si>
  <si>
    <t>Input</t>
  </si>
  <si>
    <t>Engineering &amp; Design to Internal</t>
  </si>
  <si>
    <t>Cost per Mile</t>
  </si>
  <si>
    <t>Engineering &amp; Design to 'Overhead'</t>
  </si>
  <si>
    <t>Engineering/Design Fully Loaded</t>
  </si>
  <si>
    <t>E&amp;D AFUDC (11%)</t>
  </si>
  <si>
    <t>Internal Construction</t>
  </si>
  <si>
    <t>External Construction</t>
  </si>
  <si>
    <t>E&amp;D Directs</t>
  </si>
  <si>
    <t>E&amp;D Indirects</t>
  </si>
  <si>
    <t>Total E&amp;D wo AFUDC</t>
  </si>
  <si>
    <t>Internal</t>
  </si>
  <si>
    <t>Engineering &amp; Design</t>
  </si>
  <si>
    <t>Cost per Mile $</t>
  </si>
  <si>
    <t>E&amp;D Indirects %</t>
  </si>
  <si>
    <t>Construction</t>
  </si>
  <si>
    <t>O&amp;M (Excluded)</t>
  </si>
  <si>
    <t>Total Internal</t>
  </si>
  <si>
    <t>Total Cost per Mile $</t>
  </si>
  <si>
    <t>Contracted</t>
  </si>
  <si>
    <t>Check Cost per Mile Tab</t>
  </si>
  <si>
    <t>Total Construction</t>
  </si>
  <si>
    <t>Total Directs</t>
  </si>
  <si>
    <t>Material</t>
  </si>
  <si>
    <t>Construction*</t>
  </si>
  <si>
    <t>Indirect Capital</t>
  </si>
  <si>
    <t>AFUDC</t>
  </si>
  <si>
    <t>O&amp;M</t>
  </si>
  <si>
    <t>Construction Indirects</t>
  </si>
  <si>
    <t>Total Costs</t>
  </si>
  <si>
    <t>Total Other</t>
  </si>
  <si>
    <t>Check (Over/Under):</t>
  </si>
  <si>
    <t>Construction AFUDC</t>
  </si>
  <si>
    <t>E&amp;D AFUDC</t>
  </si>
  <si>
    <t>ESH Covered Conductor</t>
  </si>
  <si>
    <t>December 2023 Project-to-Date (PTD)</t>
  </si>
  <si>
    <t>Construction Cost per Mile Analysis $</t>
  </si>
  <si>
    <t>Construction Cost per Mile</t>
  </si>
  <si>
    <t>Capital AFUDC (5%)</t>
  </si>
  <si>
    <t>Total $</t>
  </si>
  <si>
    <t>% of Total</t>
  </si>
  <si>
    <t>Cost Per Mile $</t>
  </si>
  <si>
    <t>Total Costs $ (TM1)</t>
  </si>
  <si>
    <t>Project ID</t>
  </si>
  <si>
    <t>Work Order Number</t>
  </si>
  <si>
    <t>ISD</t>
  </si>
  <si>
    <t>Miles</t>
  </si>
  <si>
    <t>Check TM1:</t>
  </si>
  <si>
    <t>Over/(Under)</t>
  </si>
  <si>
    <t/>
  </si>
  <si>
    <t>0972-F-CC</t>
  </si>
  <si>
    <t>530000203276</t>
  </si>
  <si>
    <t>0157-P-CC-FT</t>
  </si>
  <si>
    <t>530000220772</t>
  </si>
  <si>
    <t>0157-O-CC-FT</t>
  </si>
  <si>
    <t>530000220623</t>
  </si>
  <si>
    <t>0157-S-CC-PH-02-FT</t>
  </si>
  <si>
    <t>530000220762</t>
  </si>
  <si>
    <t>0445-S-CC-FT</t>
  </si>
  <si>
    <t>530000227463</t>
  </si>
  <si>
    <t>448II</t>
  </si>
  <si>
    <t>530000225290</t>
  </si>
  <si>
    <t>0078-H-CC-FT</t>
  </si>
  <si>
    <t>530000224684</t>
  </si>
  <si>
    <t>0445-T-CC-FT</t>
  </si>
  <si>
    <t>530000227922</t>
  </si>
  <si>
    <t>448DD</t>
  </si>
  <si>
    <t>530000231176</t>
  </si>
  <si>
    <t>448LL</t>
  </si>
  <si>
    <t>530000230330</t>
  </si>
  <si>
    <t>0222-CC-CC</t>
  </si>
  <si>
    <t>530000221987</t>
  </si>
  <si>
    <t>448RRR</t>
  </si>
  <si>
    <t>530000232231</t>
  </si>
  <si>
    <t>0448-E2-CC-FT</t>
  </si>
  <si>
    <t>530000232588</t>
  </si>
  <si>
    <t>448HH</t>
  </si>
  <si>
    <t>530000233909</t>
  </si>
  <si>
    <t>448GG</t>
  </si>
  <si>
    <t>530000234588</t>
  </si>
  <si>
    <t>0212-GG-CC</t>
  </si>
  <si>
    <t>530000228618</t>
  </si>
  <si>
    <t>448MM</t>
  </si>
  <si>
    <t>530000235390</t>
  </si>
  <si>
    <t>448QQQ</t>
  </si>
  <si>
    <t>530000232107</t>
  </si>
  <si>
    <t>448G</t>
  </si>
  <si>
    <t>530000237145</t>
  </si>
  <si>
    <t>0448-K2-CC-FT</t>
  </si>
  <si>
    <t>530000232506</t>
  </si>
  <si>
    <t>0445-L-CC-FT</t>
  </si>
  <si>
    <t>530000231921</t>
  </si>
  <si>
    <t>448FF</t>
  </si>
  <si>
    <t>530000240907</t>
  </si>
  <si>
    <t>448BB</t>
  </si>
  <si>
    <t>530000240773</t>
  </si>
  <si>
    <t>448F</t>
  </si>
  <si>
    <t>530000243941</t>
  </si>
  <si>
    <t>448KK</t>
  </si>
  <si>
    <t>530000244566</t>
  </si>
  <si>
    <t>448RR</t>
  </si>
  <si>
    <t>530000236064</t>
  </si>
  <si>
    <t>0445-T-CC-FT-02</t>
  </si>
  <si>
    <t>530000235974</t>
  </si>
  <si>
    <t>0157-DD-CC</t>
  </si>
  <si>
    <t>530000226655</t>
  </si>
  <si>
    <t>448JJ</t>
  </si>
  <si>
    <t>530000237818</t>
  </si>
  <si>
    <t>0448-E4-CC</t>
  </si>
  <si>
    <t>530000244185</t>
  </si>
  <si>
    <t>0445-D-CC-FT</t>
  </si>
  <si>
    <t>530000236435</t>
  </si>
  <si>
    <t>0448-E2-CC</t>
  </si>
  <si>
    <t>530000244776</t>
  </si>
  <si>
    <t>0445-T-CC-FT-04</t>
  </si>
  <si>
    <t>530000247227</t>
  </si>
  <si>
    <t>1090-A-CC</t>
  </si>
  <si>
    <t>530000243881</t>
  </si>
  <si>
    <t>0445-B-CC-FT</t>
  </si>
  <si>
    <t>530000248957</t>
  </si>
  <si>
    <t>0176-K-CC-FT-02</t>
  </si>
  <si>
    <t>530000250095</t>
  </si>
  <si>
    <t>0445-S-CC-FT-02</t>
  </si>
  <si>
    <t>530000260705</t>
  </si>
  <si>
    <t>0448-F2-CC</t>
  </si>
  <si>
    <t>530000250164</t>
  </si>
  <si>
    <t>0448-XX-CC</t>
  </si>
  <si>
    <t>530000260080</t>
  </si>
  <si>
    <t>0448-H-CC-FT</t>
  </si>
  <si>
    <t>530000251820</t>
  </si>
  <si>
    <t>0176-T-CC</t>
  </si>
  <si>
    <t>530000264121</t>
  </si>
  <si>
    <t>0157-S-CC</t>
  </si>
  <si>
    <t>530000240286</t>
  </si>
  <si>
    <t>0157-P-CC</t>
  </si>
  <si>
    <t>530000244184</t>
  </si>
  <si>
    <t>0157-O-CC</t>
  </si>
  <si>
    <t>530000241994</t>
  </si>
  <si>
    <t>0448-L3-CC</t>
  </si>
  <si>
    <t>530000272589</t>
  </si>
  <si>
    <t>0448-N-CC</t>
  </si>
  <si>
    <t>530000263410</t>
  </si>
  <si>
    <t>0448-J3-CC</t>
  </si>
  <si>
    <t>530000269594</t>
  </si>
  <si>
    <t>448CC CC</t>
  </si>
  <si>
    <t>530000270046</t>
  </si>
  <si>
    <t>0445-S-CC-FT-03</t>
  </si>
  <si>
    <t>530000277889</t>
  </si>
  <si>
    <t>0448-E3-CC</t>
  </si>
  <si>
    <t>530000277308</t>
  </si>
  <si>
    <t>448CCC CC</t>
  </si>
  <si>
    <t>530000274932</t>
  </si>
  <si>
    <t>0157-S-CC-PH-02</t>
  </si>
  <si>
    <t>530000262356</t>
  </si>
  <si>
    <t>448CCC2 CC</t>
  </si>
  <si>
    <t>530000278955</t>
  </si>
  <si>
    <t>0176-R-CC</t>
  </si>
  <si>
    <t>530000273382</t>
  </si>
  <si>
    <t>0445-T-CC-FT-05</t>
  </si>
  <si>
    <t>530000283418</t>
  </si>
  <si>
    <t>0212-B-CC</t>
  </si>
  <si>
    <t>530000284232</t>
  </si>
  <si>
    <t>0078-H-CC</t>
  </si>
  <si>
    <t>530000245089</t>
  </si>
  <si>
    <t>0212-R-CC</t>
  </si>
  <si>
    <t>530000274303</t>
  </si>
  <si>
    <t>0176-Q-CC</t>
  </si>
  <si>
    <t>530000269397</t>
  </si>
  <si>
    <t>0448-L2-CC</t>
  </si>
  <si>
    <t>530000277408</t>
  </si>
  <si>
    <t>0445-H-CC</t>
  </si>
  <si>
    <t>530000273422</t>
  </si>
  <si>
    <t>0448-C2-CC</t>
  </si>
  <si>
    <t>530000282104</t>
  </si>
  <si>
    <t>0448-J2-CC</t>
  </si>
  <si>
    <t>530000275285</t>
  </si>
  <si>
    <t>0448-M-CC</t>
  </si>
  <si>
    <t>530000282092</t>
  </si>
  <si>
    <t>0212-A-CC</t>
  </si>
  <si>
    <t>530000292451</t>
  </si>
  <si>
    <t>0176-S-CC</t>
  </si>
  <si>
    <t>530000281986</t>
  </si>
  <si>
    <t>0448-C-CC</t>
  </si>
  <si>
    <t>530000287526</t>
  </si>
  <si>
    <t>0157-C-CC</t>
  </si>
  <si>
    <t>530000276274</t>
  </si>
  <si>
    <t>0157-EE-CC</t>
  </si>
  <si>
    <t>530000278342</t>
  </si>
  <si>
    <t>0448-L-CC</t>
  </si>
  <si>
    <t>530000288499</t>
  </si>
  <si>
    <t>0237-T-CC-FT</t>
  </si>
  <si>
    <t>530000228047</t>
  </si>
  <si>
    <t>0448-P2-CC</t>
  </si>
  <si>
    <t>530000293786</t>
  </si>
  <si>
    <t>448AA CC</t>
  </si>
  <si>
    <t>530000270406</t>
  </si>
  <si>
    <t>0448-H2-CC</t>
  </si>
  <si>
    <t>530000282828</t>
  </si>
  <si>
    <t>0448-M2-CC</t>
  </si>
  <si>
    <t>530000282079</t>
  </si>
  <si>
    <t>0445-T-CC-FT-06</t>
  </si>
  <si>
    <t>530000297226</t>
  </si>
  <si>
    <t>0445-L-CC</t>
  </si>
  <si>
    <t>530000245632</t>
  </si>
  <si>
    <t>0157-N-PH-02-CC</t>
  </si>
  <si>
    <t>530000275850</t>
  </si>
  <si>
    <t>0448-I-CC</t>
  </si>
  <si>
    <t>530000290866</t>
  </si>
  <si>
    <t>0448-K2-CC</t>
  </si>
  <si>
    <t>530000287252</t>
  </si>
  <si>
    <t>0448-B-CC</t>
  </si>
  <si>
    <t>530000298546</t>
  </si>
  <si>
    <t>0445-I-CC</t>
  </si>
  <si>
    <t>530000292750</t>
  </si>
  <si>
    <t>0448-B2-CC</t>
  </si>
  <si>
    <t>530000301775</t>
  </si>
  <si>
    <t>0157-A-CC</t>
  </si>
  <si>
    <t>530000283848</t>
  </si>
  <si>
    <t>0448-G2-CC</t>
  </si>
  <si>
    <t>530000295416</t>
  </si>
  <si>
    <t>0212-O-CC</t>
  </si>
  <si>
    <t>530000289899</t>
  </si>
  <si>
    <t>0176-K-CC</t>
  </si>
  <si>
    <t>530000289487</t>
  </si>
  <si>
    <t>0448-O2-CC</t>
  </si>
  <si>
    <t>530000285514</t>
  </si>
  <si>
    <t>0448-O-CC</t>
  </si>
  <si>
    <t>530000306360</t>
  </si>
  <si>
    <t>0448-E-CC</t>
  </si>
  <si>
    <t>530000294472</t>
  </si>
  <si>
    <t>0448-F3-CC</t>
  </si>
  <si>
    <t>530000288479</t>
  </si>
  <si>
    <t>0157-A2-CC</t>
  </si>
  <si>
    <t>530000315338</t>
  </si>
  <si>
    <t>0448-N2-CC</t>
  </si>
  <si>
    <t>530000293715</t>
  </si>
  <si>
    <t>0157-Z-CC</t>
  </si>
  <si>
    <t>530000273881</t>
  </si>
  <si>
    <t>0448-A3-CC</t>
  </si>
  <si>
    <t>530000297624</t>
  </si>
  <si>
    <t>0448-J-CC</t>
  </si>
  <si>
    <t>530000286867</t>
  </si>
  <si>
    <t>0212-N-CC</t>
  </si>
  <si>
    <t>530000286063</t>
  </si>
  <si>
    <t>0448-D-CC</t>
  </si>
  <si>
    <t>530000314516</t>
  </si>
  <si>
    <t>0448-G-CC</t>
  </si>
  <si>
    <t>530000311282</t>
  </si>
  <si>
    <t>0445-E-CC</t>
  </si>
  <si>
    <t>530000325087</t>
  </si>
  <si>
    <t>0212-N2-CC</t>
  </si>
  <si>
    <t>530000332704</t>
  </si>
  <si>
    <t>0972-S-CC</t>
  </si>
  <si>
    <t>530000327143</t>
  </si>
  <si>
    <t>0445-D-CC</t>
  </si>
  <si>
    <t>530000326401</t>
  </si>
  <si>
    <t>0445-P-CC-FT-04</t>
  </si>
  <si>
    <t>530000256307</t>
  </si>
  <si>
    <t>0445-J-CC</t>
  </si>
  <si>
    <t>530000332218</t>
  </si>
  <si>
    <t>0445-P-CC</t>
  </si>
  <si>
    <t>530000293453</t>
  </si>
  <si>
    <t>448HH-TU</t>
  </si>
  <si>
    <t>530000308130</t>
  </si>
  <si>
    <t>0972-R-CC</t>
  </si>
  <si>
    <t>530000326506</t>
  </si>
  <si>
    <t>0445-K-CC</t>
  </si>
  <si>
    <t>530000335134</t>
  </si>
  <si>
    <t>0073-N-CC</t>
  </si>
  <si>
    <t>530000332083</t>
  </si>
  <si>
    <t>0445-A-CC</t>
  </si>
  <si>
    <t>530000328044</t>
  </si>
  <si>
    <t>0972-Q-CC</t>
  </si>
  <si>
    <t>530000330499</t>
  </si>
  <si>
    <t>0157-Y-CC</t>
  </si>
  <si>
    <t>530000281119</t>
  </si>
  <si>
    <t>0448-D2-CC</t>
  </si>
  <si>
    <t>530000300907</t>
  </si>
  <si>
    <t>0448-A2-CC</t>
  </si>
  <si>
    <t>530000305869</t>
  </si>
  <si>
    <t>0445-G-CC</t>
  </si>
  <si>
    <t>530000331761</t>
  </si>
  <si>
    <t>0448-P-CC</t>
  </si>
  <si>
    <t>530000290511</t>
  </si>
  <si>
    <t>0073-BB-CC</t>
  </si>
  <si>
    <t>530000332081</t>
  </si>
  <si>
    <t>Lookup 1</t>
  </si>
  <si>
    <t>Lookup 2</t>
  </si>
  <si>
    <t>Output</t>
  </si>
  <si>
    <t>Capital</t>
  </si>
  <si>
    <t>Direct Costs</t>
  </si>
  <si>
    <t>Non Direct Costs wo AFUDC</t>
  </si>
  <si>
    <t>O &amp; M</t>
  </si>
  <si>
    <t>All Cost Elements</t>
  </si>
  <si>
    <t>All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</si>
</sst>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  <numFmt numFmtId="166" formatCode="_([$$-409]* #,##0.00_);_([$$-409]* \(#,##0.00\);_([$$-409]* &quot;-&quot;??_);_(@_)"/>
    <numFmt numFmtId="167" formatCode="_(* #,##0_);_(* \(#,##0\);_(* &quot;-&quot;??_);_(@_)"/>
  </numFmts>
  <fonts count="4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9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sz val="10"/>
      <color theme="1"/>
      <name val="Times New Roman"/>
      <family val="1"/>
    </font>
    <font>
      <sz val="9"/>
      <color rgb="FF000000"/>
      <name val="Calibri"/>
      <family val="2"/>
    </font>
    <font>
      <sz val="9"/>
      <color theme="1"/>
      <name val="Times New Roman"/>
      <family val="1"/>
    </font>
    <font>
      <b/>
      <u/>
      <sz val="11"/>
      <color rgb="FF000000"/>
      <name val="Calibri"/>
      <family val="2"/>
    </font>
    <font>
      <b/>
      <u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83">
    <xf numFmtId="0" fontId="0" fillId="0" borderId="0" xfId="0"/>
    <xf numFmtId="0" fontId="6" fillId="0" borderId="1" xfId="0" applyFont="1" applyBorder="1"/>
    <xf numFmtId="0" fontId="6" fillId="3" borderId="1" xfId="0" applyFont="1" applyFill="1" applyBorder="1"/>
    <xf numFmtId="0" fontId="0" fillId="3" borderId="0" xfId="0" applyFill="1"/>
    <xf numFmtId="0" fontId="7" fillId="0" borderId="0" xfId="0" applyFont="1"/>
    <xf numFmtId="165" fontId="7" fillId="0" borderId="0" xfId="0" applyNumberFormat="1" applyFont="1"/>
    <xf numFmtId="0" fontId="4" fillId="0" borderId="0" xfId="2" applyAlignment="1">
      <alignment horizontal="left"/>
    </xf>
    <xf numFmtId="0" fontId="4" fillId="0" borderId="0" xfId="2" applyAlignment="1">
      <alignment horizontal="center"/>
    </xf>
    <xf numFmtId="0" fontId="4" fillId="0" borderId="0" xfId="2"/>
    <xf numFmtId="166" fontId="4" fillId="0" borderId="0" xfId="2" applyNumberFormat="1" applyAlignment="1">
      <alignment horizontal="center"/>
    </xf>
    <xf numFmtId="0" fontId="8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0" xfId="2" applyFont="1"/>
    <xf numFmtId="0" fontId="13" fillId="4" borderId="0" xfId="2" applyFont="1" applyFill="1" applyAlignment="1">
      <alignment horizontal="left"/>
    </xf>
    <xf numFmtId="0" fontId="13" fillId="4" borderId="0" xfId="2" applyFont="1" applyFill="1" applyAlignment="1">
      <alignment horizontal="center"/>
    </xf>
    <xf numFmtId="0" fontId="14" fillId="0" borderId="0" xfId="2" applyFont="1"/>
    <xf numFmtId="0" fontId="15" fillId="0" borderId="0" xfId="2" applyFont="1"/>
    <xf numFmtId="165" fontId="15" fillId="0" borderId="0" xfId="2" applyNumberFormat="1" applyFont="1" applyAlignment="1">
      <alignment horizontal="center"/>
    </xf>
    <xf numFmtId="165" fontId="15" fillId="0" borderId="0" xfId="2" applyNumberFormat="1" applyFont="1"/>
    <xf numFmtId="0" fontId="6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7" fillId="0" borderId="0" xfId="2" applyFont="1" applyAlignment="1">
      <alignment horizontal="left" indent="1"/>
    </xf>
    <xf numFmtId="165" fontId="17" fillId="0" borderId="0" xfId="2" applyNumberFormat="1" applyFont="1" applyAlignment="1">
      <alignment horizontal="center"/>
    </xf>
    <xf numFmtId="165" fontId="18" fillId="0" borderId="0" xfId="2" applyNumberFormat="1" applyFont="1"/>
    <xf numFmtId="165" fontId="4" fillId="0" borderId="0" xfId="2" applyNumberFormat="1"/>
    <xf numFmtId="166" fontId="15" fillId="0" borderId="0" xfId="2" applyNumberFormat="1" applyFont="1"/>
    <xf numFmtId="164" fontId="15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 applyAlignment="1">
      <alignment horizontal="center"/>
    </xf>
    <xf numFmtId="0" fontId="19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1" fillId="0" borderId="0" xfId="2" applyFont="1"/>
    <xf numFmtId="0" fontId="20" fillId="0" borderId="0" xfId="2" applyFont="1"/>
    <xf numFmtId="44" fontId="20" fillId="0" borderId="0" xfId="2" applyNumberFormat="1" applyFont="1" applyAlignment="1">
      <alignment horizontal="right"/>
    </xf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167" fontId="16" fillId="3" borderId="0" xfId="4" applyNumberFormat="1" applyFont="1" applyFill="1" applyAlignment="1">
      <alignment horizontal="center"/>
    </xf>
    <xf numFmtId="165" fontId="16" fillId="0" borderId="0" xfId="4" applyNumberFormat="1" applyFont="1" applyFill="1" applyAlignment="1">
      <alignment horizontal="center"/>
    </xf>
    <xf numFmtId="165" fontId="16" fillId="0" borderId="0" xfId="4" applyNumberFormat="1" applyFont="1"/>
    <xf numFmtId="165" fontId="16" fillId="0" borderId="0" xfId="4" applyNumberFormat="1" applyFont="1" applyAlignment="1">
      <alignment horizontal="center"/>
    </xf>
    <xf numFmtId="165" fontId="23" fillId="0" borderId="0" xfId="4" applyNumberFormat="1" applyFont="1" applyAlignment="1">
      <alignment horizontal="center"/>
    </xf>
    <xf numFmtId="165" fontId="16" fillId="2" borderId="0" xfId="4" applyNumberFormat="1" applyFont="1" applyFill="1" applyAlignment="1">
      <alignment horizontal="center"/>
    </xf>
    <xf numFmtId="0" fontId="22" fillId="0" borderId="0" xfId="2" applyFont="1"/>
    <xf numFmtId="0" fontId="24" fillId="0" borderId="0" xfId="2" applyFont="1" applyAlignment="1">
      <alignment horizontal="left"/>
    </xf>
    <xf numFmtId="0" fontId="24" fillId="0" borderId="0" xfId="2" applyFont="1" applyAlignment="1">
      <alignment horizontal="center"/>
    </xf>
    <xf numFmtId="167" fontId="24" fillId="0" borderId="0" xfId="4" applyNumberFormat="1" applyFont="1" applyFill="1" applyAlignment="1">
      <alignment horizontal="right"/>
    </xf>
    <xf numFmtId="165" fontId="24" fillId="0" borderId="0" xfId="4" applyNumberFormat="1" applyFont="1" applyFill="1" applyAlignment="1">
      <alignment horizontal="right"/>
    </xf>
    <xf numFmtId="10" fontId="24" fillId="0" borderId="0" xfId="4" applyNumberFormat="1" applyFont="1" applyFill="1" applyAlignment="1">
      <alignment horizontal="right"/>
    </xf>
    <xf numFmtId="10" fontId="24" fillId="0" borderId="0" xfId="2" applyNumberFormat="1" applyFont="1" applyAlignment="1">
      <alignment horizontal="right"/>
    </xf>
    <xf numFmtId="10" fontId="25" fillId="0" borderId="0" xfId="4" applyNumberFormat="1" applyFont="1" applyFill="1" applyAlignment="1">
      <alignment horizontal="right"/>
    </xf>
    <xf numFmtId="10" fontId="25" fillId="0" borderId="0" xfId="2" applyNumberFormat="1" applyFont="1" applyAlignment="1">
      <alignment horizontal="right"/>
    </xf>
    <xf numFmtId="165" fontId="25" fillId="0" borderId="0" xfId="4" applyNumberFormat="1" applyFont="1" applyFill="1" applyAlignment="1">
      <alignment horizontal="right"/>
    </xf>
    <xf numFmtId="0" fontId="24" fillId="0" borderId="0" xfId="2" applyFont="1"/>
    <xf numFmtId="0" fontId="14" fillId="0" borderId="2" xfId="2" applyFont="1" applyBorder="1" applyAlignment="1">
      <alignment horizontal="left"/>
    </xf>
    <xf numFmtId="0" fontId="14" fillId="0" borderId="3" xfId="2" applyFont="1" applyBorder="1" applyAlignment="1">
      <alignment horizontal="center"/>
    </xf>
    <xf numFmtId="0" fontId="14" fillId="0" borderId="3" xfId="2" applyFont="1" applyBorder="1"/>
    <xf numFmtId="167" fontId="26" fillId="0" borderId="3" xfId="4" applyNumberFormat="1" applyFont="1" applyBorder="1"/>
    <xf numFmtId="165" fontId="27" fillId="0" borderId="2" xfId="4" applyNumberFormat="1" applyFont="1" applyFill="1" applyBorder="1" applyAlignment="1">
      <alignment horizontal="center"/>
    </xf>
    <xf numFmtId="165" fontId="27" fillId="2" borderId="5" xfId="4" applyNumberFormat="1" applyFont="1" applyFill="1" applyBorder="1" applyAlignment="1"/>
    <xf numFmtId="165" fontId="26" fillId="0" borderId="0" xfId="4" applyNumberFormat="1" applyFont="1" applyBorder="1" applyAlignment="1"/>
    <xf numFmtId="0" fontId="15" fillId="0" borderId="6" xfId="2" applyFont="1" applyBorder="1" applyAlignment="1">
      <alignment horizontal="left"/>
    </xf>
    <xf numFmtId="0" fontId="15" fillId="0" borderId="6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5" fillId="2" borderId="8" xfId="2" applyFont="1" applyFill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15" fillId="0" borderId="9" xfId="2" applyFont="1" applyBorder="1" applyAlignment="1">
      <alignment horizontal="center"/>
    </xf>
    <xf numFmtId="0" fontId="15" fillId="2" borderId="10" xfId="2" applyFont="1" applyFill="1" applyBorder="1" applyAlignment="1">
      <alignment horizontal="center"/>
    </xf>
    <xf numFmtId="0" fontId="15" fillId="0" borderId="11" xfId="2" applyFont="1" applyBorder="1"/>
    <xf numFmtId="0" fontId="4" fillId="0" borderId="12" xfId="2" applyBorder="1" applyAlignment="1">
      <alignment horizontal="left"/>
    </xf>
    <xf numFmtId="0" fontId="4" fillId="0" borderId="12" xfId="2" applyBorder="1" applyAlignment="1">
      <alignment horizontal="center"/>
    </xf>
    <xf numFmtId="164" fontId="0" fillId="2" borderId="0" xfId="3" applyNumberFormat="1" applyFont="1" applyFill="1" applyAlignment="1">
      <alignment horizontal="center"/>
    </xf>
    <xf numFmtId="167" fontId="0" fillId="5" borderId="0" xfId="4" applyNumberFormat="1" applyFont="1" applyFill="1"/>
    <xf numFmtId="167" fontId="0" fillId="0" borderId="0" xfId="4" applyNumberFormat="1" applyFont="1"/>
    <xf numFmtId="167" fontId="0" fillId="3" borderId="0" xfId="4" applyNumberFormat="1" applyFont="1" applyFill="1"/>
    <xf numFmtId="167" fontId="0" fillId="0" borderId="0" xfId="4" applyNumberFormat="1" applyFont="1" applyAlignment="1">
      <alignment horizontal="center"/>
    </xf>
    <xf numFmtId="167" fontId="8" fillId="0" borderId="0" xfId="4" applyNumberFormat="1" applyFont="1" applyAlignment="1">
      <alignment horizontal="center"/>
    </xf>
    <xf numFmtId="167" fontId="0" fillId="5" borderId="0" xfId="4" applyNumberFormat="1" applyFont="1" applyFill="1" applyAlignment="1">
      <alignment horizontal="center"/>
    </xf>
    <xf numFmtId="167" fontId="0" fillId="3" borderId="0" xfId="4" applyNumberFormat="1" applyFont="1" applyFill="1" applyAlignment="1">
      <alignment horizontal="center"/>
    </xf>
    <xf numFmtId="167" fontId="8" fillId="6" borderId="0" xfId="4" applyNumberFormat="1" applyFont="1" applyFill="1" applyAlignment="1">
      <alignment horizontal="center"/>
    </xf>
    <xf numFmtId="167" fontId="0" fillId="2" borderId="0" xfId="4" applyNumberFormat="1" applyFont="1" applyFill="1" applyAlignment="1">
      <alignment horizontal="center"/>
    </xf>
    <xf numFmtId="44" fontId="11" fillId="0" borderId="0" xfId="2" applyNumberFormat="1" applyFont="1" applyAlignment="1">
      <alignment horizontal="right"/>
    </xf>
    <xf numFmtId="0" fontId="9" fillId="0" borderId="12" xfId="2" applyFont="1" applyBorder="1" applyAlignment="1">
      <alignment horizontal="left"/>
    </xf>
    <xf numFmtId="43" fontId="9" fillId="5" borderId="12" xfId="4" applyFont="1" applyFill="1" applyBorder="1"/>
    <xf numFmtId="14" fontId="4" fillId="5" borderId="12" xfId="2" applyNumberFormat="1" applyFill="1" applyBorder="1" applyAlignment="1">
      <alignment horizontal="center"/>
    </xf>
    <xf numFmtId="0" fontId="8" fillId="0" borderId="12" xfId="2" applyFont="1" applyBorder="1" applyAlignment="1">
      <alignment horizontal="left"/>
    </xf>
    <xf numFmtId="43" fontId="8" fillId="5" borderId="12" xfId="4" applyFont="1" applyFill="1" applyBorder="1"/>
    <xf numFmtId="0" fontId="9" fillId="0" borderId="12" xfId="2" applyFont="1" applyBorder="1" applyAlignment="1">
      <alignment horizontal="center"/>
    </xf>
    <xf numFmtId="14" fontId="9" fillId="5" borderId="12" xfId="2" applyNumberFormat="1" applyFont="1" applyFill="1" applyBorder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7" fontId="9" fillId="5" borderId="0" xfId="4" applyNumberFormat="1" applyFont="1" applyFill="1"/>
    <xf numFmtId="167" fontId="9" fillId="0" borderId="0" xfId="4" applyNumberFormat="1" applyFont="1"/>
    <xf numFmtId="167" fontId="9" fillId="3" borderId="0" xfId="4" applyNumberFormat="1" applyFont="1" applyFill="1"/>
    <xf numFmtId="167" fontId="9" fillId="0" borderId="0" xfId="4" applyNumberFormat="1" applyFont="1" applyAlignment="1">
      <alignment horizontal="center"/>
    </xf>
    <xf numFmtId="167" fontId="9" fillId="5" borderId="0" xfId="4" applyNumberFormat="1" applyFont="1" applyFill="1" applyAlignment="1">
      <alignment horizontal="center"/>
    </xf>
    <xf numFmtId="167" fontId="9" fillId="3" borderId="0" xfId="4" applyNumberFormat="1" applyFont="1" applyFill="1" applyAlignment="1">
      <alignment horizontal="center"/>
    </xf>
    <xf numFmtId="167" fontId="9" fillId="6" borderId="0" xfId="4" applyNumberFormat="1" applyFont="1" applyFill="1" applyAlignment="1">
      <alignment horizontal="center"/>
    </xf>
    <xf numFmtId="167" fontId="9" fillId="2" borderId="0" xfId="4" applyNumberFormat="1" applyFont="1" applyFill="1" applyAlignment="1">
      <alignment horizontal="center"/>
    </xf>
    <xf numFmtId="44" fontId="29" fillId="0" borderId="0" xfId="2" applyNumberFormat="1" applyFont="1" applyAlignment="1">
      <alignment horizontal="right"/>
    </xf>
    <xf numFmtId="0" fontId="9" fillId="0" borderId="0" xfId="2" applyFont="1"/>
    <xf numFmtId="0" fontId="30" fillId="0" borderId="0" xfId="5" applyFont="1"/>
    <xf numFmtId="0" fontId="31" fillId="0" borderId="0" xfId="5" applyFont="1"/>
    <xf numFmtId="0" fontId="32" fillId="0" borderId="0" xfId="5" applyFont="1"/>
    <xf numFmtId="0" fontId="33" fillId="0" borderId="0" xfId="5" applyFont="1"/>
    <xf numFmtId="0" fontId="3" fillId="0" borderId="0" xfId="5"/>
    <xf numFmtId="0" fontId="35" fillId="0" borderId="0" xfId="5" applyFont="1"/>
    <xf numFmtId="0" fontId="34" fillId="0" borderId="18" xfId="5" applyFont="1" applyBorder="1" applyAlignment="1">
      <alignment vertical="center" wrapText="1"/>
    </xf>
    <xf numFmtId="0" fontId="34" fillId="0" borderId="19" xfId="5" applyFont="1" applyBorder="1" applyAlignment="1">
      <alignment horizontal="center" vertical="center" wrapText="1"/>
    </xf>
    <xf numFmtId="0" fontId="34" fillId="8" borderId="19" xfId="5" applyFont="1" applyFill="1" applyBorder="1" applyAlignment="1">
      <alignment horizontal="center" vertical="center" wrapText="1"/>
    </xf>
    <xf numFmtId="164" fontId="36" fillId="0" borderId="19" xfId="6" applyNumberFormat="1" applyFont="1" applyBorder="1" applyAlignment="1">
      <alignment vertical="center" wrapText="1"/>
    </xf>
    <xf numFmtId="164" fontId="36" fillId="8" borderId="19" xfId="6" applyNumberFormat="1" applyFont="1" applyFill="1" applyBorder="1" applyAlignment="1">
      <alignment vertical="center" wrapText="1"/>
    </xf>
    <xf numFmtId="9" fontId="36" fillId="0" borderId="19" xfId="5" applyNumberFormat="1" applyFont="1" applyBorder="1" applyAlignment="1">
      <alignment vertical="center" wrapText="1"/>
    </xf>
    <xf numFmtId="164" fontId="3" fillId="0" borderId="0" xfId="5" applyNumberFormat="1"/>
    <xf numFmtId="0" fontId="3" fillId="0" borderId="1" xfId="5" applyBorder="1"/>
    <xf numFmtId="164" fontId="3" fillId="0" borderId="1" xfId="5" applyNumberFormat="1" applyBorder="1"/>
    <xf numFmtId="0" fontId="6" fillId="2" borderId="0" xfId="5" applyFont="1" applyFill="1"/>
    <xf numFmtId="164" fontId="6" fillId="2" borderId="0" xfId="5" applyNumberFormat="1" applyFont="1" applyFill="1"/>
    <xf numFmtId="0" fontId="37" fillId="0" borderId="18" xfId="5" applyFont="1" applyBorder="1" applyAlignment="1">
      <alignment vertical="center" wrapText="1"/>
    </xf>
    <xf numFmtId="164" fontId="38" fillId="0" borderId="19" xfId="6" applyNumberFormat="1" applyFont="1" applyBorder="1" applyAlignment="1">
      <alignment vertical="center" wrapText="1"/>
    </xf>
    <xf numFmtId="164" fontId="38" fillId="8" borderId="19" xfId="6" applyNumberFormat="1" applyFont="1" applyFill="1" applyBorder="1" applyAlignment="1">
      <alignment vertical="center" wrapText="1"/>
    </xf>
    <xf numFmtId="9" fontId="38" fillId="0" borderId="19" xfId="5" applyNumberFormat="1" applyFont="1" applyBorder="1" applyAlignment="1">
      <alignment vertical="center" wrapText="1"/>
    </xf>
    <xf numFmtId="0" fontId="6" fillId="0" borderId="0" xfId="5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37" fillId="0" borderId="20" xfId="5" applyFont="1" applyBorder="1" applyAlignment="1">
      <alignment vertical="center" wrapText="1"/>
    </xf>
    <xf numFmtId="164" fontId="38" fillId="0" borderId="20" xfId="6" applyNumberFormat="1" applyFont="1" applyBorder="1" applyAlignment="1">
      <alignment vertical="center" wrapText="1"/>
    </xf>
    <xf numFmtId="9" fontId="36" fillId="0" borderId="0" xfId="5" applyNumberFormat="1" applyFont="1" applyAlignment="1">
      <alignment vertical="center" wrapText="1"/>
    </xf>
    <xf numFmtId="0" fontId="39" fillId="0" borderId="0" xfId="5" applyFont="1" applyAlignment="1">
      <alignment vertical="center" wrapText="1"/>
    </xf>
    <xf numFmtId="164" fontId="40" fillId="0" borderId="0" xfId="6" applyNumberFormat="1" applyFont="1" applyBorder="1" applyAlignment="1">
      <alignment vertical="center" wrapText="1"/>
    </xf>
    <xf numFmtId="43" fontId="0" fillId="0" borderId="0" xfId="7" applyFont="1"/>
    <xf numFmtId="0" fontId="35" fillId="0" borderId="0" xfId="5" applyFont="1" applyAlignment="1">
      <alignment horizontal="right"/>
    </xf>
    <xf numFmtId="164" fontId="36" fillId="0" borderId="0" xfId="6" applyNumberFormat="1" applyFont="1" applyBorder="1" applyAlignment="1">
      <alignment vertical="center" wrapText="1"/>
    </xf>
    <xf numFmtId="0" fontId="41" fillId="0" borderId="0" xfId="5" applyFont="1" applyAlignment="1">
      <alignment vertical="center" wrapText="1"/>
    </xf>
    <xf numFmtId="0" fontId="34" fillId="0" borderId="0" xfId="5" applyFont="1" applyAlignment="1">
      <alignment vertical="center" wrapText="1"/>
    </xf>
    <xf numFmtId="10" fontId="3" fillId="0" borderId="0" xfId="5" applyNumberFormat="1"/>
    <xf numFmtId="165" fontId="3" fillId="0" borderId="0" xfId="5" applyNumberFormat="1"/>
    <xf numFmtId="0" fontId="34" fillId="0" borderId="1" xfId="5" applyFont="1" applyBorder="1" applyAlignment="1">
      <alignment vertical="center" wrapText="1"/>
    </xf>
    <xf numFmtId="164" fontId="0" fillId="0" borderId="1" xfId="6" applyNumberFormat="1" applyFont="1" applyBorder="1"/>
    <xf numFmtId="0" fontId="34" fillId="2" borderId="0" xfId="5" applyFont="1" applyFill="1" applyAlignment="1">
      <alignment vertical="center" wrapText="1"/>
    </xf>
    <xf numFmtId="164" fontId="3" fillId="2" borderId="0" xfId="5" applyNumberFormat="1" applyFill="1"/>
    <xf numFmtId="165" fontId="0" fillId="0" borderId="0" xfId="0" applyNumberFormat="1"/>
    <xf numFmtId="0" fontId="0" fillId="0" borderId="21" xfId="0" applyBorder="1"/>
    <xf numFmtId="165" fontId="0" fillId="0" borderId="21" xfId="0" applyNumberFormat="1" applyBorder="1"/>
    <xf numFmtId="0" fontId="0" fillId="0" borderId="0" xfId="0" applyAlignment="1">
      <alignment horizontal="left" indent="1"/>
    </xf>
    <xf numFmtId="0" fontId="7" fillId="5" borderId="0" xfId="0" applyFont="1" applyFill="1"/>
    <xf numFmtId="165" fontId="7" fillId="5" borderId="0" xfId="0" applyNumberFormat="1" applyFont="1" applyFill="1"/>
    <xf numFmtId="0" fontId="42" fillId="0" borderId="0" xfId="0" applyFont="1"/>
    <xf numFmtId="0" fontId="0" fillId="0" borderId="0" xfId="0" applyAlignment="1">
      <alignment horizontal="center"/>
    </xf>
    <xf numFmtId="0" fontId="43" fillId="0" borderId="0" xfId="0" applyFont="1"/>
    <xf numFmtId="0" fontId="44" fillId="0" borderId="0" xfId="0" applyFont="1"/>
    <xf numFmtId="0" fontId="44" fillId="0" borderId="0" xfId="0" applyFont="1" applyAlignment="1">
      <alignment horizontal="center"/>
    </xf>
    <xf numFmtId="9" fontId="0" fillId="6" borderId="22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10" fontId="0" fillId="6" borderId="12" xfId="0" applyNumberFormat="1" applyFill="1" applyBorder="1"/>
    <xf numFmtId="165" fontId="0" fillId="0" borderId="0" xfId="0" applyNumberFormat="1" applyAlignment="1">
      <alignment horizontal="center"/>
    </xf>
    <xf numFmtId="9" fontId="42" fillId="0" borderId="0" xfId="0" applyNumberFormat="1" applyFont="1" applyAlignment="1">
      <alignment horizontal="center"/>
    </xf>
    <xf numFmtId="165" fontId="7" fillId="5" borderId="0" xfId="0" applyNumberFormat="1" applyFont="1" applyFill="1" applyAlignment="1">
      <alignment horizontal="center"/>
    </xf>
    <xf numFmtId="0" fontId="45" fillId="0" borderId="0" xfId="0" applyFont="1"/>
    <xf numFmtId="0" fontId="46" fillId="0" borderId="0" xfId="0" applyFont="1"/>
    <xf numFmtId="0" fontId="47" fillId="0" borderId="0" xfId="0" applyFont="1"/>
    <xf numFmtId="165" fontId="0" fillId="0" borderId="21" xfId="0" applyNumberFormat="1" applyBorder="1" applyAlignment="1">
      <alignment horizontal="center"/>
    </xf>
    <xf numFmtId="0" fontId="10" fillId="0" borderId="0" xfId="0" applyFont="1"/>
    <xf numFmtId="164" fontId="20" fillId="0" borderId="0" xfId="2" applyNumberFormat="1" applyFont="1" applyAlignment="1">
      <alignment horizontal="right"/>
    </xf>
    <xf numFmtId="165" fontId="47" fillId="0" borderId="21" xfId="0" applyNumberFormat="1" applyFont="1" applyBorder="1" applyAlignment="1">
      <alignment horizontal="center"/>
    </xf>
    <xf numFmtId="165" fontId="47" fillId="0" borderId="0" xfId="0" applyNumberFormat="1" applyFont="1" applyAlignment="1">
      <alignment horizontal="center"/>
    </xf>
    <xf numFmtId="165" fontId="47" fillId="0" borderId="0" xfId="0" applyNumberFormat="1" applyFont="1"/>
    <xf numFmtId="165" fontId="47" fillId="0" borderId="21" xfId="0" applyNumberFormat="1" applyFont="1" applyBorder="1"/>
    <xf numFmtId="0" fontId="3" fillId="0" borderId="1" xfId="5" applyBorder="1" applyAlignment="1">
      <alignment vertical="center"/>
    </xf>
    <xf numFmtId="164" fontId="3" fillId="0" borderId="1" xfId="5" applyNumberFormat="1" applyBorder="1" applyAlignment="1">
      <alignment vertical="center"/>
    </xf>
    <xf numFmtId="0" fontId="1" fillId="0" borderId="0" xfId="5" applyFont="1"/>
    <xf numFmtId="0" fontId="28" fillId="7" borderId="13" xfId="5" applyFont="1" applyFill="1" applyBorder="1" applyAlignment="1">
      <alignment horizontal="center"/>
    </xf>
    <xf numFmtId="0" fontId="34" fillId="0" borderId="14" xfId="5" applyFont="1" applyBorder="1" applyAlignment="1">
      <alignment vertical="center" wrapText="1"/>
    </xf>
    <xf numFmtId="0" fontId="34" fillId="0" borderId="18" xfId="5" applyFont="1" applyBorder="1" applyAlignment="1">
      <alignment vertical="center" wrapText="1"/>
    </xf>
    <xf numFmtId="0" fontId="34" fillId="0" borderId="15" xfId="5" applyFont="1" applyBorder="1" applyAlignment="1">
      <alignment horizontal="center" vertical="center" wrapText="1"/>
    </xf>
    <xf numFmtId="0" fontId="34" fillId="0" borderId="16" xfId="5" applyFont="1" applyBorder="1" applyAlignment="1">
      <alignment horizontal="center" vertical="center" wrapText="1"/>
    </xf>
    <xf numFmtId="0" fontId="34" fillId="0" borderId="17" xfId="5" applyFont="1" applyBorder="1" applyAlignment="1">
      <alignment horizontal="center" vertical="center" wrapText="1"/>
    </xf>
    <xf numFmtId="165" fontId="27" fillId="0" borderId="2" xfId="4" applyNumberFormat="1" applyFont="1" applyFill="1" applyBorder="1" applyAlignment="1">
      <alignment horizontal="center"/>
    </xf>
    <xf numFmtId="165" fontId="27" fillId="0" borderId="3" xfId="4" applyNumberFormat="1" applyFont="1" applyFill="1" applyBorder="1" applyAlignment="1">
      <alignment horizontal="center"/>
    </xf>
    <xf numFmtId="165" fontId="27" fillId="0" borderId="4" xfId="4" applyNumberFormat="1" applyFont="1" applyFill="1" applyBorder="1" applyAlignment="1">
      <alignment horizontal="center"/>
    </xf>
    <xf numFmtId="165" fontId="27" fillId="0" borderId="3" xfId="4" applyNumberFormat="1" applyFont="1" applyBorder="1" applyAlignment="1">
      <alignment horizontal="center"/>
    </xf>
  </cellXfs>
  <cellStyles count="10">
    <cellStyle name="Comma 2" xfId="4" xr:uid="{24B15FC0-933B-4B97-9365-1AA26AF28E5E}"/>
    <cellStyle name="Comma 3" xfId="7" xr:uid="{DC9D291C-7A2B-4FF7-9C9F-5FFC90A4978A}"/>
    <cellStyle name="Currency 2" xfId="3" xr:uid="{5B470AA6-0BFB-40E8-B6F7-16A0601DDD78}"/>
    <cellStyle name="Currency 3" xfId="6" xr:uid="{D638CAA1-84C7-414E-B57C-8CDB62DDAC97}"/>
    <cellStyle name="Currency 4" xfId="9" xr:uid="{FC6F1087-D432-4A00-88F6-6C193DB566C2}"/>
    <cellStyle name="Normal" xfId="0" builtinId="0"/>
    <cellStyle name="Normal 2" xfId="1" xr:uid="{2F13A278-54BF-43BB-80C1-6E42447E8C79}"/>
    <cellStyle name="Normal 3" xfId="2" xr:uid="{7A2AF147-4C18-42B0-86E6-8FFB5DB5DAC7}"/>
    <cellStyle name="Normal 4" xfId="5" xr:uid="{E54EED6A-D523-4457-9241-98B2C580CC01}"/>
    <cellStyle name="Normal 5" xfId="8" xr:uid="{4039880E-0BD3-46B3-A83F-50A304F8821C}"/>
  </cellStyles>
  <dxfs count="9"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7" tint="-0.24994659260841701"/>
      </font>
      <fill>
        <patternFill>
          <bgColor rgb="FFFAE6A4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497540</xdr:colOff>
      <xdr:row>2</xdr:row>
      <xdr:rowOff>53788</xdr:rowOff>
    </xdr:from>
    <xdr:to>
      <xdr:col>10</xdr:col>
      <xdr:colOff>143435</xdr:colOff>
      <xdr:row>15</xdr:row>
      <xdr:rowOff>116541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22E4E3-1D46-4871-A4EA-2E85EF8798F4}"/>
            </a:ext>
          </a:extLst>
        </xdr:cNvPr>
        <xdr:cNvSpPr/>
      </xdr:nvSpPr>
      <xdr:spPr>
        <a:xfrm>
          <a:off x="6996952" y="430306"/>
          <a:ext cx="3402107" cy="2411506"/>
        </a:xfrm>
        <a:prstGeom prst="rect">
          <a:avLst/>
        </a:prstGeom>
        <a:noFill/>
        <a:ln w="34925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4ED57-E1E9-4FF4-8ADE-B218EEF084F2}">
  <sheetPr>
    <tabColor rgb="FF002060"/>
  </sheetPr>
  <dimension ref="A1:I82"/>
  <sheetViews>
    <sheetView showGridLines="0" tabSelected="1" zoomScale="85" zoomScaleNormal="85" workbookViewId="0">
      <selection activeCell="I24" sqref="I24"/>
    </sheetView>
  </sheetViews>
  <sheetFormatPr defaultColWidth="8.85546875" defaultRowHeight="15" outlineLevelRow="1" outlineLevelCol="1"/>
  <cols>
    <col min="1" max="1" width="3.28515625" style="105" customWidth="1"/>
    <col min="2" max="2" width="19.7109375" style="105" customWidth="1"/>
    <col min="3" max="3" width="20.5703125" style="105" customWidth="1"/>
    <col min="4" max="4" width="20.5703125" style="105" customWidth="1" outlineLevel="1"/>
    <col min="5" max="5" width="17.28515625" style="105" customWidth="1"/>
    <col min="6" max="6" width="4.7109375" style="105" customWidth="1"/>
    <col min="7" max="7" width="33.140625" style="105" bestFit="1" customWidth="1"/>
    <col min="8" max="8" width="12.5703125" style="105" customWidth="1"/>
    <col min="9" max="16384" width="8.85546875" style="105"/>
  </cols>
  <sheetData>
    <row r="1" spans="1:9">
      <c r="A1" s="172"/>
    </row>
    <row r="2" spans="1:9" s="101" customFormat="1" ht="20.25">
      <c r="B2" s="101" t="s">
        <v>0</v>
      </c>
    </row>
    <row r="3" spans="1:9" s="103" customFormat="1" ht="15" customHeight="1">
      <c r="B3" s="102"/>
    </row>
    <row r="4" spans="1:9" s="104" customFormat="1" ht="12">
      <c r="B4" s="104" t="s">
        <v>1</v>
      </c>
    </row>
    <row r="6" spans="1:9" ht="15" customHeight="1" thickBot="1">
      <c r="B6" s="173" t="s">
        <v>2</v>
      </c>
      <c r="C6" s="173"/>
      <c r="D6" s="173"/>
      <c r="E6" s="173"/>
    </row>
    <row r="7" spans="1:9" ht="15.75" thickBot="1">
      <c r="B7" s="174" t="s">
        <v>3</v>
      </c>
      <c r="C7" s="176" t="s">
        <v>4</v>
      </c>
      <c r="D7" s="177"/>
      <c r="E7" s="178"/>
      <c r="G7" s="106" t="s">
        <v>5</v>
      </c>
      <c r="H7" s="106" t="s">
        <v>6</v>
      </c>
      <c r="I7" s="106"/>
    </row>
    <row r="8" spans="1:9" ht="15.75" thickBot="1">
      <c r="B8" s="175"/>
      <c r="C8" s="108" t="s">
        <v>7</v>
      </c>
      <c r="D8" s="109" t="s">
        <v>7</v>
      </c>
      <c r="E8" s="108" t="s">
        <v>8</v>
      </c>
    </row>
    <row r="9" spans="1:9" ht="15.75" thickBot="1">
      <c r="B9" s="107" t="s">
        <v>9</v>
      </c>
      <c r="C9" s="110">
        <f t="shared" ref="C9:C14" si="0">MROUND(D9,1000)</f>
        <v>258000</v>
      </c>
      <c r="D9" s="111">
        <f>'Cost Input'!J7</f>
        <v>258316.08681020033</v>
      </c>
      <c r="E9" s="112">
        <f t="shared" ref="E9:E15" si="1">C9/C$15</f>
        <v>0.17671232876712328</v>
      </c>
      <c r="G9" s="105" t="s">
        <v>9</v>
      </c>
      <c r="H9" s="113">
        <f>C9</f>
        <v>258000</v>
      </c>
    </row>
    <row r="10" spans="1:9" ht="15.75" thickBot="1">
      <c r="B10" s="107" t="s">
        <v>10</v>
      </c>
      <c r="C10" s="110">
        <f t="shared" si="0"/>
        <v>189000</v>
      </c>
      <c r="D10" s="111">
        <f>'Cost Input'!J8</f>
        <v>189065.76830131025</v>
      </c>
      <c r="E10" s="112">
        <f t="shared" si="1"/>
        <v>0.12945205479452054</v>
      </c>
      <c r="G10" s="105" t="s">
        <v>10</v>
      </c>
      <c r="H10" s="113">
        <f>C10</f>
        <v>189000</v>
      </c>
    </row>
    <row r="11" spans="1:9" ht="15.75" thickBot="1">
      <c r="B11" s="107" t="s">
        <v>11</v>
      </c>
      <c r="C11" s="110">
        <f t="shared" si="0"/>
        <v>240000</v>
      </c>
      <c r="D11" s="111">
        <f>'Cost Input'!J9</f>
        <v>239890.08681020033</v>
      </c>
      <c r="E11" s="112">
        <f t="shared" si="1"/>
        <v>0.16438356164383561</v>
      </c>
      <c r="G11" s="105" t="s">
        <v>11</v>
      </c>
      <c r="H11" s="113">
        <f>C11</f>
        <v>240000</v>
      </c>
    </row>
    <row r="12" spans="1:9" ht="30.75" thickBot="1">
      <c r="B12" s="107" t="s">
        <v>12</v>
      </c>
      <c r="C12" s="110">
        <f t="shared" si="0"/>
        <v>350000</v>
      </c>
      <c r="D12" s="111">
        <f>'Cost Input'!J10</f>
        <v>350094</v>
      </c>
      <c r="E12" s="112">
        <f t="shared" si="1"/>
        <v>0.23972602739726026</v>
      </c>
      <c r="G12" s="170" t="s">
        <v>12</v>
      </c>
      <c r="H12" s="171">
        <f>C12</f>
        <v>350000</v>
      </c>
    </row>
    <row r="13" spans="1:9" ht="15.75" thickBot="1">
      <c r="B13" s="107" t="s">
        <v>13</v>
      </c>
      <c r="C13" s="110">
        <f t="shared" si="0"/>
        <v>278000</v>
      </c>
      <c r="D13" s="111">
        <f>'Cost Input'!J11</f>
        <v>277750.87600185932</v>
      </c>
      <c r="E13" s="112">
        <f t="shared" si="1"/>
        <v>0.19041095890410958</v>
      </c>
      <c r="G13" s="116" t="s">
        <v>14</v>
      </c>
      <c r="H13" s="117">
        <f>SUM(H9:H12)</f>
        <v>1037000</v>
      </c>
    </row>
    <row r="14" spans="1:9" ht="15.75" thickBot="1">
      <c r="B14" s="107" t="s">
        <v>15</v>
      </c>
      <c r="C14" s="110">
        <f t="shared" si="0"/>
        <v>145000</v>
      </c>
      <c r="D14" s="111">
        <f>'Cost Input'!J12</f>
        <v>144662.84997159272</v>
      </c>
      <c r="E14" s="112">
        <f t="shared" si="1"/>
        <v>9.9315068493150679E-2</v>
      </c>
      <c r="G14" s="114" t="s">
        <v>16</v>
      </c>
      <c r="H14" s="115">
        <f>SUM(C13:C14)</f>
        <v>423000</v>
      </c>
    </row>
    <row r="15" spans="1:9" ht="15.75" thickBot="1">
      <c r="B15" s="118" t="s">
        <v>17</v>
      </c>
      <c r="C15" s="119">
        <f>SUM(C9:C14)</f>
        <v>1460000</v>
      </c>
      <c r="D15" s="120">
        <f>SUM(D9:D14)</f>
        <v>1459779.6678951629</v>
      </c>
      <c r="E15" s="121">
        <f t="shared" si="1"/>
        <v>1</v>
      </c>
      <c r="G15" s="122" t="s">
        <v>18</v>
      </c>
      <c r="H15" s="123">
        <f>SUM(H13:H14)</f>
        <v>1460000</v>
      </c>
    </row>
    <row r="16" spans="1:9" ht="30" outlineLevel="1">
      <c r="B16" s="124" t="s">
        <v>19</v>
      </c>
      <c r="C16" s="125"/>
      <c r="D16" s="125">
        <f>'Construction Cost per Mile'!F3</f>
        <v>1489103.9092331284</v>
      </c>
      <c r="E16" s="126"/>
    </row>
    <row r="17" spans="2:8" outlineLevel="1">
      <c r="B17" s="127" t="s">
        <v>20</v>
      </c>
      <c r="C17" s="128"/>
      <c r="D17" s="128">
        <f>D16-D15</f>
        <v>29324.241337965475</v>
      </c>
      <c r="E17" s="126"/>
      <c r="H17" s="113"/>
    </row>
    <row r="18" spans="2:8" outlineLevel="1">
      <c r="B18" s="127" t="s">
        <v>21</v>
      </c>
      <c r="C18" s="128"/>
      <c r="D18" s="128">
        <f>'Construction Cost per Mile'!L10</f>
        <v>29324.241337965515</v>
      </c>
      <c r="E18" s="126"/>
      <c r="H18" s="129"/>
    </row>
    <row r="19" spans="2:8" ht="24" outlineLevel="1">
      <c r="B19" s="127" t="s">
        <v>22</v>
      </c>
      <c r="C19" s="130"/>
      <c r="D19" s="131">
        <f>ROUND(D17-D18,0)</f>
        <v>0</v>
      </c>
      <c r="E19" s="126"/>
    </row>
    <row r="20" spans="2:8" outlineLevel="1"/>
    <row r="21" spans="2:8" outlineLevel="1">
      <c r="B21" s="132" t="s">
        <v>23</v>
      </c>
      <c r="C21" s="130"/>
      <c r="D21" s="130" t="s">
        <v>24</v>
      </c>
    </row>
    <row r="22" spans="2:8" outlineLevel="1">
      <c r="B22" s="133" t="s">
        <v>25</v>
      </c>
      <c r="D22" s="105">
        <v>22000</v>
      </c>
    </row>
    <row r="23" spans="2:8" ht="45" outlineLevel="1">
      <c r="B23" s="133" t="s">
        <v>26</v>
      </c>
      <c r="D23" s="105">
        <f>22000+418000</f>
        <v>440000</v>
      </c>
    </row>
    <row r="24" spans="2:8" ht="30" outlineLevel="1">
      <c r="B24" s="133" t="s">
        <v>27</v>
      </c>
      <c r="C24" s="134"/>
      <c r="D24" s="134">
        <f>D22/D23</f>
        <v>0.05</v>
      </c>
    </row>
    <row r="25" spans="2:8" outlineLevel="1"/>
    <row r="26" spans="2:8" outlineLevel="1">
      <c r="B26" s="133" t="s">
        <v>25</v>
      </c>
      <c r="C26" s="135"/>
      <c r="D26" s="135">
        <f>D24*D27</f>
        <v>0</v>
      </c>
    </row>
    <row r="27" spans="2:8" ht="45" outlineLevel="1">
      <c r="B27" s="136" t="s">
        <v>26</v>
      </c>
      <c r="C27" s="137"/>
      <c r="D27" s="137"/>
    </row>
    <row r="28" spans="2:8" ht="45" outlineLevel="1">
      <c r="B28" s="138" t="s">
        <v>28</v>
      </c>
      <c r="C28" s="139"/>
      <c r="D28" s="139">
        <f>D27-D26</f>
        <v>0</v>
      </c>
    </row>
    <row r="29" spans="2:8" outlineLevel="1"/>
    <row r="30" spans="2:8" outlineLevel="1"/>
    <row r="31" spans="2:8" outlineLevel="1"/>
    <row r="32" spans="2:8" outlineLevel="1"/>
    <row r="33" outlineLevel="1"/>
    <row r="34" outlineLevel="1"/>
    <row r="35" outlineLevel="1"/>
    <row r="36" outlineLevel="1"/>
    <row r="37" outlineLevel="1"/>
    <row r="38" outlineLevel="1"/>
    <row r="39" outlineLevel="1"/>
    <row r="40" outlineLevel="1"/>
    <row r="41" outlineLevel="1"/>
    <row r="42" outlineLevel="1"/>
    <row r="43" outlineLevel="1"/>
    <row r="44" outlineLevel="1"/>
    <row r="53" outlineLevel="1"/>
    <row r="54" outlineLevel="1"/>
    <row r="55" outlineLevel="1"/>
    <row r="56" outlineLevel="1"/>
    <row r="57" outlineLevel="1"/>
    <row r="58" outlineLevel="1"/>
    <row r="59" outlineLevel="1"/>
    <row r="60" outlineLevel="1"/>
    <row r="61" outlineLevel="1"/>
    <row r="62" outlineLevel="1"/>
    <row r="63" outlineLevel="1"/>
    <row r="64" outlineLevel="1"/>
    <row r="65" outlineLevel="1"/>
    <row r="66" outlineLevel="1"/>
    <row r="67" outlineLevel="1"/>
    <row r="68" outlineLevel="1"/>
    <row r="69" outlineLevel="1"/>
    <row r="70" outlineLevel="1"/>
    <row r="71" outlineLevel="1"/>
    <row r="72" outlineLevel="1"/>
    <row r="73" outlineLevel="1"/>
    <row r="74" outlineLevel="1"/>
    <row r="75" outlineLevel="1"/>
    <row r="76" outlineLevel="1"/>
    <row r="77" outlineLevel="1"/>
    <row r="78" outlineLevel="1"/>
    <row r="79" outlineLevel="1"/>
    <row r="80" outlineLevel="1"/>
    <row r="81" outlineLevel="1"/>
    <row r="82" outlineLevel="1"/>
  </sheetData>
  <mergeCells count="3">
    <mergeCell ref="B6:E6"/>
    <mergeCell ref="B7:B8"/>
    <mergeCell ref="C7:E7"/>
  </mergeCells>
  <conditionalFormatting sqref="D19">
    <cfRule type="expression" dxfId="8" priority="4">
      <formula>D19&lt;&gt;0</formula>
    </cfRule>
    <cfRule type="cellIs" dxfId="7" priority="5" operator="equal">
      <formula>0</formula>
    </cfRule>
    <cfRule type="cellIs" dxfId="6" priority="6" operator="equal">
      <formula>" $-   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4058-BFB8-4AA7-9320-011EEC9C5CAA}">
  <dimension ref="B2:J34"/>
  <sheetViews>
    <sheetView showGridLines="0" zoomScaleNormal="100" workbookViewId="0"/>
  </sheetViews>
  <sheetFormatPr defaultRowHeight="15" outlineLevelCol="1"/>
  <cols>
    <col min="1" max="1" width="3.7109375" customWidth="1"/>
    <col min="2" max="2" width="27.42578125" bestFit="1" customWidth="1"/>
    <col min="3" max="3" width="12.7109375" bestFit="1" customWidth="1"/>
    <col min="4" max="4" width="5.28515625" customWidth="1"/>
    <col min="5" max="5" width="33.140625" style="162" bestFit="1" customWidth="1" outlineLevel="1"/>
    <col min="6" max="6" width="33.28515625" bestFit="1" customWidth="1"/>
    <col min="7" max="7" width="12.7109375" style="147" bestFit="1" customWidth="1"/>
    <col min="9" max="9" width="31.42578125" bestFit="1" customWidth="1"/>
    <col min="10" max="10" width="14.28515625" bestFit="1" customWidth="1"/>
  </cols>
  <sheetData>
    <row r="2" spans="2:10" s="149" customFormat="1" ht="15.75">
      <c r="B2" s="149" t="s">
        <v>29</v>
      </c>
      <c r="E2" s="160"/>
      <c r="F2" s="149" t="s">
        <v>30</v>
      </c>
      <c r="G2" s="150"/>
    </row>
    <row r="4" spans="2:10" ht="15.75">
      <c r="B4" s="146" t="s">
        <v>31</v>
      </c>
      <c r="D4" s="146"/>
      <c r="E4" s="161"/>
      <c r="F4" s="146" t="s">
        <v>32</v>
      </c>
      <c r="G4" s="153" t="s">
        <v>8</v>
      </c>
      <c r="H4" s="4"/>
      <c r="I4" s="149" t="s">
        <v>33</v>
      </c>
      <c r="J4" s="148"/>
    </row>
    <row r="5" spans="2:10">
      <c r="F5" t="s">
        <v>34</v>
      </c>
      <c r="G5" s="151">
        <v>0.05</v>
      </c>
    </row>
    <row r="6" spans="2:10">
      <c r="B6" s="146" t="s">
        <v>32</v>
      </c>
      <c r="C6" s="146" t="s">
        <v>35</v>
      </c>
      <c r="F6" t="s">
        <v>36</v>
      </c>
      <c r="G6" s="151">
        <f>1-G5</f>
        <v>0.95</v>
      </c>
      <c r="I6" s="146" t="s">
        <v>32</v>
      </c>
      <c r="J6" s="146" t="s">
        <v>35</v>
      </c>
    </row>
    <row r="7" spans="2:10">
      <c r="B7" t="s">
        <v>37</v>
      </c>
      <c r="C7" s="140">
        <f>'Construction Cost per Mile'!F5</f>
        <v>444000</v>
      </c>
      <c r="G7" s="154"/>
      <c r="I7" t="s">
        <v>9</v>
      </c>
      <c r="J7" s="140">
        <f>SUMIF($E:$E,$I7,$G:$G)</f>
        <v>258316.08681020033</v>
      </c>
    </row>
    <row r="8" spans="2:10">
      <c r="B8" t="s">
        <v>38</v>
      </c>
      <c r="C8" s="140">
        <f>'Construction Cost per Mile'!F6</f>
        <v>133044.58451180495</v>
      </c>
      <c r="F8" t="s">
        <v>39</v>
      </c>
      <c r="G8" s="151">
        <v>0.5</v>
      </c>
      <c r="I8" t="s">
        <v>10</v>
      </c>
      <c r="J8" s="140">
        <f t="shared" ref="J8:J12" si="0">SUMIF($E:$E,$I8,$G:$G)</f>
        <v>189065.76830131025</v>
      </c>
    </row>
    <row r="9" spans="2:10">
      <c r="C9" s="140"/>
      <c r="F9" t="s">
        <v>40</v>
      </c>
      <c r="G9" s="151">
        <v>0.5</v>
      </c>
      <c r="I9" t="s">
        <v>11</v>
      </c>
      <c r="J9" s="140">
        <f t="shared" si="0"/>
        <v>239890.08681020033</v>
      </c>
    </row>
    <row r="10" spans="2:10">
      <c r="B10" t="s">
        <v>41</v>
      </c>
      <c r="C10" s="140">
        <f>C7-C11</f>
        <v>368520</v>
      </c>
      <c r="G10" s="154"/>
      <c r="I10" t="s">
        <v>12</v>
      </c>
      <c r="J10" s="140">
        <f t="shared" si="0"/>
        <v>350094</v>
      </c>
    </row>
    <row r="11" spans="2:10">
      <c r="B11" s="141" t="s">
        <v>42</v>
      </c>
      <c r="C11" s="142">
        <f>C7*$C$14</f>
        <v>75480</v>
      </c>
      <c r="G11" s="154"/>
      <c r="I11" t="s">
        <v>13</v>
      </c>
      <c r="J11" s="140">
        <f t="shared" si="0"/>
        <v>277750.87600185932</v>
      </c>
    </row>
    <row r="12" spans="2:10">
      <c r="B12" s="4" t="s">
        <v>43</v>
      </c>
      <c r="C12" s="5">
        <f>SUM(C10:C11)</f>
        <v>444000</v>
      </c>
      <c r="F12" s="146" t="s">
        <v>44</v>
      </c>
      <c r="G12" s="158" t="s">
        <v>24</v>
      </c>
      <c r="I12" s="141" t="s">
        <v>15</v>
      </c>
      <c r="J12" s="142">
        <f t="shared" si="0"/>
        <v>144662.84997159272</v>
      </c>
    </row>
    <row r="13" spans="2:10">
      <c r="C13" s="140"/>
      <c r="F13" t="s">
        <v>45</v>
      </c>
      <c r="G13" s="157">
        <f>C10*$G$5</f>
        <v>18426</v>
      </c>
      <c r="I13" s="4" t="s">
        <v>46</v>
      </c>
      <c r="J13" s="5">
        <f>SUM(J7:J12)</f>
        <v>1459779.6678951629</v>
      </c>
    </row>
    <row r="14" spans="2:10">
      <c r="B14" t="s">
        <v>47</v>
      </c>
      <c r="C14" s="156">
        <v>0.17</v>
      </c>
      <c r="F14" s="141" t="s">
        <v>48</v>
      </c>
      <c r="G14" s="166">
        <f>C23*$G$8</f>
        <v>239890.08681020033</v>
      </c>
      <c r="I14" s="141" t="s">
        <v>49</v>
      </c>
      <c r="J14" s="142">
        <f>C27</f>
        <v>29324.241337965515</v>
      </c>
    </row>
    <row r="15" spans="2:10">
      <c r="C15" s="155"/>
      <c r="E15" s="162" t="s">
        <v>9</v>
      </c>
      <c r="F15" s="144" t="s">
        <v>50</v>
      </c>
      <c r="G15" s="159">
        <f>SUM(G13:G14)</f>
        <v>258316.08681020033</v>
      </c>
      <c r="I15" s="4" t="s">
        <v>51</v>
      </c>
      <c r="J15" s="5">
        <f>SUM(J13:J14)</f>
        <v>1489103.9092331284</v>
      </c>
    </row>
    <row r="16" spans="2:10">
      <c r="B16" s="146" t="s">
        <v>48</v>
      </c>
      <c r="C16" s="140"/>
      <c r="G16" s="154"/>
    </row>
    <row r="17" spans="2:10">
      <c r="F17" s="146" t="s">
        <v>52</v>
      </c>
      <c r="G17" s="153" t="s">
        <v>24</v>
      </c>
      <c r="I17" s="4" t="s">
        <v>53</v>
      </c>
      <c r="J17" s="5">
        <f>'Construction Cost per Mile'!F3</f>
        <v>1489103.9092331284</v>
      </c>
    </row>
    <row r="18" spans="2:10">
      <c r="B18" s="146" t="s">
        <v>32</v>
      </c>
      <c r="C18" s="146" t="s">
        <v>35</v>
      </c>
      <c r="E18" s="162" t="s">
        <v>11</v>
      </c>
      <c r="F18" t="s">
        <v>40</v>
      </c>
      <c r="G18" s="167">
        <f>C23*$G$9</f>
        <v>239890.08681020033</v>
      </c>
      <c r="I18" s="164" t="s">
        <v>22</v>
      </c>
      <c r="J18" s="165">
        <f>J15-J17</f>
        <v>0</v>
      </c>
    </row>
    <row r="19" spans="2:10">
      <c r="B19" t="s">
        <v>54</v>
      </c>
      <c r="C19" s="140">
        <f>'Construction Cost per Mile'!F4</f>
        <v>912059.32472132356</v>
      </c>
    </row>
    <row r="20" spans="2:10">
      <c r="B20" t="s">
        <v>55</v>
      </c>
      <c r="C20" s="140">
        <f>'Construction Cost per Mile'!G10</f>
        <v>668845.94192171085</v>
      </c>
      <c r="F20" s="146" t="s">
        <v>52</v>
      </c>
      <c r="G20" s="153" t="s">
        <v>24</v>
      </c>
    </row>
    <row r="21" spans="2:10">
      <c r="E21" s="162" t="s">
        <v>10</v>
      </c>
      <c r="F21" t="s">
        <v>56</v>
      </c>
      <c r="G21" s="168">
        <f>C22</f>
        <v>189065.76830131025</v>
      </c>
    </row>
    <row r="22" spans="2:10">
      <c r="B22" t="s">
        <v>56</v>
      </c>
      <c r="C22" s="140">
        <f>SUMIF('Construction Cost per Mile'!$F$13:$L$13,$B22,'Construction Cost per Mile'!$F$10:$L$10)</f>
        <v>189065.76830131025</v>
      </c>
    </row>
    <row r="23" spans="2:10">
      <c r="B23" s="141" t="s">
        <v>57</v>
      </c>
      <c r="C23" s="142">
        <f>SUMIF('Construction Cost per Mile'!$F$13:$L$13,$B23,'Construction Cost per Mile'!$F$10:$L$10)</f>
        <v>479780.17362040066</v>
      </c>
      <c r="F23" s="146" t="s">
        <v>12</v>
      </c>
      <c r="G23" s="153" t="s">
        <v>24</v>
      </c>
    </row>
    <row r="24" spans="2:10">
      <c r="B24" s="4" t="s">
        <v>55</v>
      </c>
      <c r="C24" s="5">
        <f>SUM(C22:C23)</f>
        <v>668845.94192171097</v>
      </c>
      <c r="E24" s="162" t="s">
        <v>12</v>
      </c>
      <c r="F24" t="s">
        <v>45</v>
      </c>
      <c r="G24" s="157">
        <f>C10*$G$6</f>
        <v>350094</v>
      </c>
    </row>
    <row r="25" spans="2:10">
      <c r="B25" t="s">
        <v>58</v>
      </c>
      <c r="C25" s="140">
        <f>SUMIF('Construction Cost per Mile'!$F$13:$L$13,$B25,'Construction Cost per Mile'!$F$10:$L$10)</f>
        <v>202270.87600185929</v>
      </c>
    </row>
    <row r="26" spans="2:10">
      <c r="B26" t="s">
        <v>59</v>
      </c>
      <c r="C26" s="140">
        <f>SUMIF('Construction Cost per Mile'!$F$13:$L$13,$B26,'Construction Cost per Mile'!$F$10:$L$10)</f>
        <v>11618.265459787779</v>
      </c>
      <c r="F26" s="146" t="s">
        <v>13</v>
      </c>
      <c r="G26" s="152" t="s">
        <v>24</v>
      </c>
    </row>
    <row r="27" spans="2:10">
      <c r="B27" s="141" t="s">
        <v>60</v>
      </c>
      <c r="C27" s="169">
        <f>SUMIF('Construction Cost per Mile'!$F$13:$L$13,$B27,'Construction Cost per Mile'!$F$10:$L$10)</f>
        <v>29324.241337965515</v>
      </c>
      <c r="F27" t="s">
        <v>61</v>
      </c>
      <c r="G27" s="167">
        <f>C25</f>
        <v>202270.87600185929</v>
      </c>
    </row>
    <row r="28" spans="2:10">
      <c r="B28" s="144" t="s">
        <v>62</v>
      </c>
      <c r="C28" s="145">
        <f>SUM(C24:C27)</f>
        <v>912059.32472132356</v>
      </c>
      <c r="F28" s="141" t="s">
        <v>42</v>
      </c>
      <c r="G28" s="163">
        <f>C11</f>
        <v>75480</v>
      </c>
    </row>
    <row r="29" spans="2:10">
      <c r="C29" s="140"/>
      <c r="E29" s="162" t="s">
        <v>13</v>
      </c>
      <c r="F29" s="144" t="s">
        <v>63</v>
      </c>
      <c r="G29" s="159">
        <f>SUM(G27:G28)</f>
        <v>277750.87600185932</v>
      </c>
    </row>
    <row r="30" spans="2:10">
      <c r="B30" s="146" t="s">
        <v>64</v>
      </c>
    </row>
    <row r="31" spans="2:10">
      <c r="B31" s="143" t="s">
        <v>62</v>
      </c>
      <c r="C31" s="165">
        <f>C19-C28</f>
        <v>0</v>
      </c>
      <c r="F31" s="146" t="s">
        <v>15</v>
      </c>
      <c r="G31" s="152" t="s">
        <v>24</v>
      </c>
    </row>
    <row r="32" spans="2:10">
      <c r="B32" s="143" t="s">
        <v>55</v>
      </c>
      <c r="C32" s="165">
        <f>C20-C24</f>
        <v>0</v>
      </c>
      <c r="F32" t="s">
        <v>65</v>
      </c>
      <c r="G32" s="167">
        <f>C26</f>
        <v>11618.265459787779</v>
      </c>
    </row>
    <row r="33" spans="5:7">
      <c r="F33" s="141" t="s">
        <v>66</v>
      </c>
      <c r="G33" s="163">
        <f>C8</f>
        <v>133044.58451180495</v>
      </c>
    </row>
    <row r="34" spans="5:7">
      <c r="E34" s="162" t="s">
        <v>15</v>
      </c>
      <c r="F34" s="144" t="s">
        <v>63</v>
      </c>
      <c r="G34" s="159">
        <f>SUM(G32:G33)</f>
        <v>144662.84997159272</v>
      </c>
    </row>
  </sheetData>
  <conditionalFormatting sqref="C31:C32">
    <cfRule type="expression" dxfId="5" priority="3">
      <formula>C31&lt;&gt;0</formula>
    </cfRule>
    <cfRule type="cellIs" dxfId="4" priority="4" operator="equal">
      <formula>0</formula>
    </cfRule>
  </conditionalFormatting>
  <conditionalFormatting sqref="J18">
    <cfRule type="expression" dxfId="3" priority="1">
      <formula>J18&lt;&gt;0</formula>
    </cfRule>
    <cfRule type="cellIs" dxfId="2" priority="2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7678A-36CF-46E0-8E26-AFC3F76E6482}">
  <sheetPr>
    <tabColor theme="4" tint="0.79998168889431442"/>
  </sheetPr>
  <dimension ref="B1:AI136"/>
  <sheetViews>
    <sheetView showGridLines="0" zoomScale="85" zoomScaleNormal="85" workbookViewId="0">
      <pane xSplit="2" ySplit="13" topLeftCell="C14" activePane="bottomRight" state="frozen"/>
      <selection pane="bottomRight" activeCell="C56" sqref="C56"/>
      <selection pane="bottomLeft" activeCell="A3" sqref="A3"/>
      <selection pane="topRight" activeCell="B1" sqref="B1"/>
    </sheetView>
  </sheetViews>
  <sheetFormatPr defaultColWidth="8.85546875" defaultRowHeight="15" outlineLevelRow="1" outlineLevelCol="1"/>
  <cols>
    <col min="1" max="1" width="2.7109375" style="8" customWidth="1"/>
    <col min="2" max="2" width="19.5703125" style="6" customWidth="1"/>
    <col min="3" max="3" width="21.7109375" style="7" customWidth="1"/>
    <col min="4" max="4" width="19.5703125" style="8" customWidth="1"/>
    <col min="5" max="5" width="25.5703125" style="8" bestFit="1" customWidth="1"/>
    <col min="6" max="6" width="15.7109375" style="7" bestFit="1" customWidth="1"/>
    <col min="7" max="7" width="17.28515625" style="8" bestFit="1" customWidth="1"/>
    <col min="8" max="8" width="13.7109375" style="8" bestFit="1" customWidth="1"/>
    <col min="9" max="9" width="18.7109375" style="8" bestFit="1" customWidth="1"/>
    <col min="10" max="10" width="19.85546875" style="7" bestFit="1" customWidth="1"/>
    <col min="11" max="11" width="12" style="10" bestFit="1" customWidth="1"/>
    <col min="12" max="12" width="10.7109375" style="10" bestFit="1" customWidth="1"/>
    <col min="13" max="13" width="15.7109375" style="7" bestFit="1" customWidth="1" outlineLevel="1"/>
    <col min="14" max="14" width="17.28515625" style="7" bestFit="1" customWidth="1" outlineLevel="1"/>
    <col min="15" max="15" width="14.28515625" style="7" bestFit="1" customWidth="1" outlineLevel="1"/>
    <col min="16" max="16" width="18.7109375" style="7" bestFit="1" customWidth="1" outlineLevel="1"/>
    <col min="17" max="17" width="19.85546875" style="7" bestFit="1" customWidth="1" outlineLevel="1"/>
    <col min="18" max="18" width="12.85546875" style="7" customWidth="1" outlineLevel="1"/>
    <col min="19" max="19" width="12.85546875" style="7" bestFit="1" customWidth="1" outlineLevel="1"/>
    <col min="20" max="20" width="16.28515625" style="7" bestFit="1" customWidth="1" outlineLevel="1"/>
    <col min="21" max="21" width="15.5703125" style="8" bestFit="1" customWidth="1" outlineLevel="1"/>
    <col min="22" max="34" width="8.85546875" style="8"/>
    <col min="35" max="35" width="13.42578125" style="8" bestFit="1" customWidth="1"/>
    <col min="36" max="16384" width="8.85546875" style="8"/>
  </cols>
  <sheetData>
    <row r="1" spans="2:35">
      <c r="F1" s="9"/>
    </row>
    <row r="2" spans="2:35" s="13" customFormat="1" ht="26.25">
      <c r="B2" s="11" t="s">
        <v>67</v>
      </c>
      <c r="C2" s="12"/>
      <c r="L2" s="12"/>
      <c r="M2" s="12"/>
      <c r="N2" s="12"/>
      <c r="O2" s="12"/>
      <c r="P2" s="12"/>
      <c r="Q2" s="12"/>
      <c r="R2" s="12"/>
      <c r="S2" s="12"/>
      <c r="T2" s="12"/>
    </row>
    <row r="3" spans="2:35" s="16" customFormat="1" ht="18.600000000000001" customHeight="1">
      <c r="B3" s="14" t="s">
        <v>68</v>
      </c>
      <c r="C3" s="15"/>
      <c r="E3" s="17" t="s">
        <v>18</v>
      </c>
      <c r="F3" s="18">
        <f>SUM(F4:F6)</f>
        <v>1489103.9092331284</v>
      </c>
      <c r="G3" s="19">
        <f>SUM(G4:G6)</f>
        <v>1112845.941921711</v>
      </c>
      <c r="H3" s="13"/>
      <c r="I3" s="8"/>
      <c r="J3" s="20"/>
      <c r="L3" s="7"/>
      <c r="M3" s="7"/>
      <c r="N3" s="7"/>
      <c r="O3" s="7"/>
      <c r="P3" s="7"/>
      <c r="T3" s="7"/>
      <c r="U3" s="8"/>
    </row>
    <row r="4" spans="2:35" s="16" customFormat="1" ht="18.600000000000001" customHeight="1">
      <c r="B4" s="21" t="s">
        <v>69</v>
      </c>
      <c r="C4" s="7"/>
      <c r="E4" s="22" t="s">
        <v>70</v>
      </c>
      <c r="F4" s="23">
        <f>F10</f>
        <v>912059.32472132356</v>
      </c>
      <c r="G4" s="24">
        <f>G10</f>
        <v>668845.94192171085</v>
      </c>
      <c r="H4" s="13"/>
      <c r="I4" s="8"/>
      <c r="J4" s="20"/>
      <c r="L4" s="7"/>
      <c r="M4" s="7"/>
      <c r="N4" s="7"/>
      <c r="O4" s="7"/>
      <c r="P4" s="7"/>
      <c r="T4" s="7"/>
      <c r="U4" s="8"/>
    </row>
    <row r="5" spans="2:35">
      <c r="E5" s="22" t="s">
        <v>31</v>
      </c>
      <c r="F5" s="23">
        <v>444000</v>
      </c>
      <c r="G5" s="25">
        <f>F5</f>
        <v>444000</v>
      </c>
      <c r="I5" s="26"/>
      <c r="J5" s="27"/>
    </row>
    <row r="6" spans="2:35" ht="15.75">
      <c r="B6" s="21"/>
      <c r="E6" s="22" t="s">
        <v>71</v>
      </c>
      <c r="F6" s="23">
        <f>(SUM(G10,J10,F5)*0.11)-K10</f>
        <v>133044.58451180495</v>
      </c>
    </row>
    <row r="7" spans="2:35" ht="15.75" outlineLevel="1">
      <c r="B7" s="21"/>
      <c r="E7" s="28"/>
      <c r="F7" s="29"/>
    </row>
    <row r="8" spans="2:35" s="32" customFormat="1" ht="12.75" outlineLevel="1">
      <c r="B8" s="30"/>
      <c r="C8" s="31"/>
      <c r="E8" s="33" t="s">
        <v>22</v>
      </c>
      <c r="F8" s="34"/>
      <c r="J8" s="31"/>
      <c r="K8" s="35"/>
      <c r="L8" s="35"/>
      <c r="M8" s="31"/>
      <c r="N8" s="31"/>
      <c r="O8" s="31"/>
      <c r="P8" s="31"/>
      <c r="Q8" s="31"/>
      <c r="R8" s="31"/>
      <c r="S8" s="31"/>
      <c r="T8" s="31"/>
    </row>
    <row r="9" spans="2:35" ht="15.75">
      <c r="B9" s="21"/>
      <c r="F9" s="9"/>
    </row>
    <row r="10" spans="2:35" s="44" customFormat="1" ht="15.75">
      <c r="B10" s="36"/>
      <c r="C10" s="37"/>
      <c r="D10" s="21" t="s">
        <v>72</v>
      </c>
      <c r="E10" s="38">
        <f>SUBTOTAL(9,E14:E99998)</f>
        <v>144.24886363636352</v>
      </c>
      <c r="F10" s="39">
        <f t="shared" ref="F10:L10" si="0">M10/$E10</f>
        <v>912059.32472132356</v>
      </c>
      <c r="G10" s="40">
        <f t="shared" si="0"/>
        <v>668845.94192171085</v>
      </c>
      <c r="H10" s="40">
        <f t="shared" si="0"/>
        <v>189065.76830131025</v>
      </c>
      <c r="I10" s="40">
        <f t="shared" si="0"/>
        <v>479780.17362040066</v>
      </c>
      <c r="J10" s="41">
        <f t="shared" si="0"/>
        <v>202270.87600185929</v>
      </c>
      <c r="K10" s="42">
        <f t="shared" si="0"/>
        <v>11618.265459787779</v>
      </c>
      <c r="L10" s="42">
        <f t="shared" si="0"/>
        <v>29324.241337965515</v>
      </c>
      <c r="M10" s="39">
        <f>SUBTOTAL(9,M14:M99998)</f>
        <v>131563521.16</v>
      </c>
      <c r="N10" s="41">
        <f>SUBTOTAL(9,N14:N99998)</f>
        <v>96480267.069999993</v>
      </c>
      <c r="O10" s="41">
        <f>SUBTOTAL(9,O14:O99998)</f>
        <v>27272522.230000004</v>
      </c>
      <c r="P10" s="41">
        <f>SUBTOTAL(9,P14:P99998)</f>
        <v>69207744.839999989</v>
      </c>
      <c r="Q10" s="41">
        <f>SUBTOTAL(9,Q14:Q99998)</f>
        <v>29177344.009999994</v>
      </c>
      <c r="R10" s="42">
        <f>SUBTOTAL(9,R14:R99998)</f>
        <v>1675921.5899999996</v>
      </c>
      <c r="S10" s="42">
        <f>SUBTOTAL(9,S14:S99998)</f>
        <v>4229988.4900000021</v>
      </c>
      <c r="T10" s="43">
        <f>SUBTOTAL(9,T14:T99998)</f>
        <v>131563521.16</v>
      </c>
      <c r="U10" s="40">
        <f>SUBTOTAL(9,U14:U99998)</f>
        <v>-5.000089231543825E-11</v>
      </c>
    </row>
    <row r="11" spans="2:35" s="54" customFormat="1" outlineLevel="1">
      <c r="B11" s="45"/>
      <c r="C11" s="46"/>
      <c r="D11" s="45" t="s">
        <v>73</v>
      </c>
      <c r="E11" s="47"/>
      <c r="F11" s="48"/>
      <c r="G11" s="48"/>
      <c r="H11" s="49">
        <f>H10/$G$10</f>
        <v>0.28267461376545305</v>
      </c>
      <c r="I11" s="49">
        <f>I10/$G$10</f>
        <v>0.717325386234547</v>
      </c>
      <c r="J11" s="50">
        <f>J10/$G10</f>
        <v>0.30241773676715422</v>
      </c>
      <c r="K11" s="50">
        <f>K10/SUM($G10,$J10)</f>
        <v>1.3337207158371197E-2</v>
      </c>
      <c r="L11" s="50">
        <f>L10/SUM($G10,$J10)</f>
        <v>3.3662811616774868E-2</v>
      </c>
      <c r="M11" s="48"/>
      <c r="N11" s="48"/>
      <c r="O11" s="51">
        <f>O10/$N$10</f>
        <v>0.282674613765453</v>
      </c>
      <c r="P11" s="51">
        <f>P10/$N$10</f>
        <v>0.717325386234547</v>
      </c>
      <c r="Q11" s="52">
        <f>Q10/$N10</f>
        <v>0.30241773676715422</v>
      </c>
      <c r="R11" s="52">
        <f>R10/SUM($N10,$Q10)</f>
        <v>1.3337207158371197E-2</v>
      </c>
      <c r="S11" s="52">
        <f>S10/SUM($N10,$Q10)</f>
        <v>3.3662811616774868E-2</v>
      </c>
      <c r="T11" s="53"/>
      <c r="U11" s="53"/>
    </row>
    <row r="12" spans="2:35" s="16" customFormat="1" ht="18.75">
      <c r="B12" s="55"/>
      <c r="C12" s="56"/>
      <c r="D12" s="57"/>
      <c r="E12" s="58"/>
      <c r="F12" s="179" t="s">
        <v>74</v>
      </c>
      <c r="G12" s="180"/>
      <c r="H12" s="180"/>
      <c r="I12" s="180"/>
      <c r="J12" s="180"/>
      <c r="K12" s="180"/>
      <c r="L12" s="181"/>
      <c r="M12" s="59"/>
      <c r="N12" s="182" t="s">
        <v>75</v>
      </c>
      <c r="O12" s="182"/>
      <c r="P12" s="182"/>
      <c r="Q12" s="182"/>
      <c r="R12" s="182"/>
      <c r="S12" s="182"/>
      <c r="T12" s="60"/>
      <c r="U12" s="61"/>
      <c r="V12" s="61"/>
    </row>
    <row r="13" spans="2:35">
      <c r="B13" s="62" t="s">
        <v>76</v>
      </c>
      <c r="C13" s="63" t="s">
        <v>77</v>
      </c>
      <c r="D13" s="63" t="s">
        <v>78</v>
      </c>
      <c r="E13" s="64" t="s">
        <v>79</v>
      </c>
      <c r="F13" s="65" t="s">
        <v>62</v>
      </c>
      <c r="G13" s="66" t="s">
        <v>55</v>
      </c>
      <c r="H13" s="66" t="s">
        <v>56</v>
      </c>
      <c r="I13" s="66" t="s">
        <v>57</v>
      </c>
      <c r="J13" s="66" t="s">
        <v>58</v>
      </c>
      <c r="K13" s="66" t="s">
        <v>59</v>
      </c>
      <c r="L13" s="66" t="s">
        <v>60</v>
      </c>
      <c r="M13" s="65" t="s">
        <v>62</v>
      </c>
      <c r="N13" s="66" t="s">
        <v>55</v>
      </c>
      <c r="O13" s="66" t="s">
        <v>56</v>
      </c>
      <c r="P13" s="66" t="s">
        <v>57</v>
      </c>
      <c r="Q13" s="66" t="s">
        <v>58</v>
      </c>
      <c r="R13" s="66" t="s">
        <v>59</v>
      </c>
      <c r="S13" s="67" t="s">
        <v>60</v>
      </c>
      <c r="T13" s="68" t="s">
        <v>80</v>
      </c>
      <c r="U13" s="69" t="s">
        <v>81</v>
      </c>
      <c r="AI13" s="8" t="s">
        <v>82</v>
      </c>
    </row>
    <row r="14" spans="2:35">
      <c r="B14" s="70" t="s">
        <v>83</v>
      </c>
      <c r="C14" s="71" t="s">
        <v>84</v>
      </c>
      <c r="D14" s="85">
        <v>44135</v>
      </c>
      <c r="E14" s="87">
        <v>1.68712121212121</v>
      </c>
      <c r="F14" s="72">
        <f t="shared" ref="F14:L14" si="1">IFERROR(M14/$E14,0)</f>
        <v>563121.667355187</v>
      </c>
      <c r="G14" s="73">
        <f t="shared" si="1"/>
        <v>388053.38069151365</v>
      </c>
      <c r="H14" s="74">
        <f t="shared" si="1"/>
        <v>130017.94324202981</v>
      </c>
      <c r="I14" s="75">
        <f t="shared" si="1"/>
        <v>258035.43744948381</v>
      </c>
      <c r="J14" s="76">
        <f t="shared" si="1"/>
        <v>141351.65765603969</v>
      </c>
      <c r="K14" s="77">
        <f t="shared" si="1"/>
        <v>33716.629007633623</v>
      </c>
      <c r="L14" s="77">
        <f t="shared" si="1"/>
        <v>0</v>
      </c>
      <c r="M14" s="72">
        <f>SUM(O14:S14)</f>
        <v>950054.50999999989</v>
      </c>
      <c r="N14" s="78">
        <v>654693.08999999985</v>
      </c>
      <c r="O14" s="76">
        <v>219356.03000000003</v>
      </c>
      <c r="P14" s="79">
        <f>N14-O14</f>
        <v>435337.05999999982</v>
      </c>
      <c r="Q14" s="76">
        <v>238477.38</v>
      </c>
      <c r="R14" s="80">
        <v>56884.039999999994</v>
      </c>
      <c r="S14" s="80">
        <v>0</v>
      </c>
      <c r="T14" s="81">
        <v>950054.50999999954</v>
      </c>
      <c r="U14" s="82">
        <f>T14-M14</f>
        <v>0</v>
      </c>
    </row>
    <row r="15" spans="2:35">
      <c r="B15" s="70" t="s">
        <v>85</v>
      </c>
      <c r="C15" s="71" t="s">
        <v>86</v>
      </c>
      <c r="D15" s="85">
        <v>44310</v>
      </c>
      <c r="E15" s="87">
        <v>0.148863636363636</v>
      </c>
      <c r="F15" s="72">
        <f t="shared" ref="F15:F53" si="2">IFERROR(M15/$E15,0)</f>
        <v>1626886.2961832099</v>
      </c>
      <c r="G15" s="73">
        <f t="shared" ref="G15:G53" si="3">IFERROR(N15/$E15,0)</f>
        <v>1418745.8076335911</v>
      </c>
      <c r="H15" s="74">
        <f t="shared" ref="H15:H53" si="4">IFERROR(O15/$E15,0)</f>
        <v>127412.71450381711</v>
      </c>
      <c r="I15" s="75">
        <f t="shared" ref="I15:I53" si="5">IFERROR(P15/$E15,0)</f>
        <v>1291333.0931297739</v>
      </c>
      <c r="J15" s="76">
        <f t="shared" ref="J15:J53" si="6">IFERROR(Q15/$E15,0)</f>
        <v>187829.21526717598</v>
      </c>
      <c r="K15" s="77">
        <f t="shared" ref="K15:K53" si="7">IFERROR(R15/$E15,0)</f>
        <v>20311.273282442795</v>
      </c>
      <c r="L15" s="77">
        <f t="shared" ref="L15:L53" si="8">IFERROR(S15/$E15,0)</f>
        <v>0</v>
      </c>
      <c r="M15" s="72">
        <f t="shared" ref="M15:M52" si="9">SUM(O15:S15)</f>
        <v>242184.20999999996</v>
      </c>
      <c r="N15" s="78">
        <v>211199.65999999997</v>
      </c>
      <c r="O15" s="76">
        <v>18967.120000000003</v>
      </c>
      <c r="P15" s="79">
        <f t="shared" ref="P15:P52" si="10">N15-O15</f>
        <v>192232.53999999998</v>
      </c>
      <c r="Q15" s="76">
        <v>27960.939999999995</v>
      </c>
      <c r="R15" s="80">
        <v>3023.6099999999997</v>
      </c>
      <c r="S15" s="80">
        <v>0</v>
      </c>
      <c r="T15" s="81">
        <v>242184.20999999996</v>
      </c>
      <c r="U15" s="82">
        <f t="shared" ref="U15:U52" si="11">T15-M15</f>
        <v>0</v>
      </c>
    </row>
    <row r="16" spans="2:35">
      <c r="B16" s="70" t="s">
        <v>87</v>
      </c>
      <c r="C16" s="71" t="s">
        <v>88</v>
      </c>
      <c r="D16" s="85">
        <v>44310</v>
      </c>
      <c r="E16" s="87">
        <v>4.9621212121212101E-2</v>
      </c>
      <c r="F16" s="72">
        <f t="shared" si="2"/>
        <v>826552.15877862636</v>
      </c>
      <c r="G16" s="73">
        <f t="shared" si="3"/>
        <v>712254.06412213773</v>
      </c>
      <c r="H16" s="74">
        <f t="shared" si="4"/>
        <v>119848.1404580153</v>
      </c>
      <c r="I16" s="75">
        <f t="shared" si="5"/>
        <v>592405.92366412247</v>
      </c>
      <c r="J16" s="76">
        <f t="shared" si="6"/>
        <v>103674.41221374049</v>
      </c>
      <c r="K16" s="77">
        <f t="shared" si="7"/>
        <v>10623.682442748095</v>
      </c>
      <c r="L16" s="77">
        <f t="shared" si="8"/>
        <v>0</v>
      </c>
      <c r="M16" s="72">
        <f t="shared" si="9"/>
        <v>41014.520000000004</v>
      </c>
      <c r="N16" s="78">
        <v>35342.910000000003</v>
      </c>
      <c r="O16" s="76">
        <v>5947.0099999999993</v>
      </c>
      <c r="P16" s="79">
        <f t="shared" si="10"/>
        <v>29395.900000000005</v>
      </c>
      <c r="Q16" s="76">
        <v>5144.45</v>
      </c>
      <c r="R16" s="80">
        <v>527.16</v>
      </c>
      <c r="S16" s="80">
        <v>0</v>
      </c>
      <c r="T16" s="81">
        <v>41014.520000000004</v>
      </c>
      <c r="U16" s="82">
        <f t="shared" si="11"/>
        <v>0</v>
      </c>
    </row>
    <row r="17" spans="2:21">
      <c r="B17" s="70" t="s">
        <v>89</v>
      </c>
      <c r="C17" s="71" t="s">
        <v>90</v>
      </c>
      <c r="D17" s="85">
        <v>44310</v>
      </c>
      <c r="E17" s="87">
        <v>9.9242424242424201E-2</v>
      </c>
      <c r="F17" s="72">
        <f t="shared" si="2"/>
        <v>592808.57404580177</v>
      </c>
      <c r="G17" s="73">
        <f t="shared" si="3"/>
        <v>521077.35572519107</v>
      </c>
      <c r="H17" s="74">
        <f t="shared" si="4"/>
        <v>66515.807633587814</v>
      </c>
      <c r="I17" s="75">
        <f t="shared" si="5"/>
        <v>454561.54809160327</v>
      </c>
      <c r="J17" s="76">
        <f t="shared" si="6"/>
        <v>63635.285496183249</v>
      </c>
      <c r="K17" s="77">
        <f t="shared" si="7"/>
        <v>8095.9328244274857</v>
      </c>
      <c r="L17" s="77">
        <f t="shared" si="8"/>
        <v>0</v>
      </c>
      <c r="M17" s="72">
        <f t="shared" si="9"/>
        <v>58831.76</v>
      </c>
      <c r="N17" s="78">
        <v>51712.98</v>
      </c>
      <c r="O17" s="76">
        <v>6601.19</v>
      </c>
      <c r="P17" s="79">
        <f t="shared" si="10"/>
        <v>45111.79</v>
      </c>
      <c r="Q17" s="76">
        <v>6315.3200000000015</v>
      </c>
      <c r="R17" s="80">
        <v>803.46000000000015</v>
      </c>
      <c r="S17" s="80">
        <v>0</v>
      </c>
      <c r="T17" s="81">
        <v>58831.759999999995</v>
      </c>
      <c r="U17" s="82">
        <f t="shared" si="11"/>
        <v>0</v>
      </c>
    </row>
    <row r="18" spans="2:21">
      <c r="B18" s="70" t="s">
        <v>91</v>
      </c>
      <c r="C18" s="71" t="s">
        <v>92</v>
      </c>
      <c r="D18" s="85">
        <v>44328</v>
      </c>
      <c r="E18" s="87">
        <v>9.9242424242424201E-2</v>
      </c>
      <c r="F18" s="72">
        <f t="shared" si="2"/>
        <v>280387.85038167948</v>
      </c>
      <c r="G18" s="73">
        <f t="shared" si="3"/>
        <v>217505.2671755726</v>
      </c>
      <c r="H18" s="74">
        <f t="shared" si="4"/>
        <v>78064.296183206126</v>
      </c>
      <c r="I18" s="75">
        <f t="shared" si="5"/>
        <v>139440.97099236649</v>
      </c>
      <c r="J18" s="76">
        <f t="shared" si="6"/>
        <v>62790.283969465672</v>
      </c>
      <c r="K18" s="77">
        <f t="shared" si="7"/>
        <v>92.299236641221412</v>
      </c>
      <c r="L18" s="77">
        <f t="shared" si="8"/>
        <v>0</v>
      </c>
      <c r="M18" s="72">
        <f t="shared" si="9"/>
        <v>27826.37</v>
      </c>
      <c r="N18" s="78">
        <v>21585.75</v>
      </c>
      <c r="O18" s="76">
        <v>7747.2899999999991</v>
      </c>
      <c r="P18" s="79">
        <f t="shared" si="10"/>
        <v>13838.460000000001</v>
      </c>
      <c r="Q18" s="76">
        <v>6231.46</v>
      </c>
      <c r="R18" s="80">
        <v>9.16</v>
      </c>
      <c r="S18" s="80">
        <v>0</v>
      </c>
      <c r="T18" s="81">
        <v>27826.370000000003</v>
      </c>
      <c r="U18" s="82">
        <f t="shared" si="11"/>
        <v>0</v>
      </c>
    </row>
    <row r="19" spans="2:21">
      <c r="B19" s="70" t="s">
        <v>93</v>
      </c>
      <c r="C19" s="71" t="s">
        <v>94</v>
      </c>
      <c r="D19" s="85">
        <v>44343</v>
      </c>
      <c r="E19" s="87">
        <v>0.54583333333333295</v>
      </c>
      <c r="F19" s="72">
        <f t="shared" si="2"/>
        <v>466800.75114503852</v>
      </c>
      <c r="G19" s="73">
        <f t="shared" si="3"/>
        <v>329892.36641221395</v>
      </c>
      <c r="H19" s="74">
        <f t="shared" si="4"/>
        <v>50838.393893129811</v>
      </c>
      <c r="I19" s="75">
        <f t="shared" si="5"/>
        <v>279053.97251908411</v>
      </c>
      <c r="J19" s="76">
        <f t="shared" si="6"/>
        <v>131263.32824427495</v>
      </c>
      <c r="K19" s="77">
        <f t="shared" si="7"/>
        <v>5645.0564885496206</v>
      </c>
      <c r="L19" s="77">
        <f t="shared" si="8"/>
        <v>0</v>
      </c>
      <c r="M19" s="72">
        <f t="shared" si="9"/>
        <v>254795.41</v>
      </c>
      <c r="N19" s="78">
        <v>180066.24999999997</v>
      </c>
      <c r="O19" s="76">
        <v>27749.29</v>
      </c>
      <c r="P19" s="79">
        <f t="shared" si="10"/>
        <v>152316.95999999996</v>
      </c>
      <c r="Q19" s="76">
        <v>71647.900000000023</v>
      </c>
      <c r="R19" s="80">
        <v>3081.2599999999989</v>
      </c>
      <c r="S19" s="80">
        <v>0</v>
      </c>
      <c r="T19" s="81">
        <v>254795.40999999997</v>
      </c>
      <c r="U19" s="82">
        <f t="shared" si="11"/>
        <v>0</v>
      </c>
    </row>
    <row r="20" spans="2:21">
      <c r="B20" s="70" t="s">
        <v>95</v>
      </c>
      <c r="C20" s="71" t="s">
        <v>96</v>
      </c>
      <c r="D20" s="85">
        <v>44348</v>
      </c>
      <c r="E20" s="87">
        <v>4.9621212121212101E-2</v>
      </c>
      <c r="F20" s="72">
        <f t="shared" si="2"/>
        <v>550889.20305343531</v>
      </c>
      <c r="G20" s="73">
        <f t="shared" si="3"/>
        <v>392747.9633587788</v>
      </c>
      <c r="H20" s="74">
        <f t="shared" si="4"/>
        <v>102137.36793893135</v>
      </c>
      <c r="I20" s="75">
        <f t="shared" si="5"/>
        <v>290610.59541984746</v>
      </c>
      <c r="J20" s="76">
        <f t="shared" si="6"/>
        <v>154406.14351145047</v>
      </c>
      <c r="K20" s="77">
        <f t="shared" si="7"/>
        <v>3735.0961832061084</v>
      </c>
      <c r="L20" s="77">
        <f t="shared" si="8"/>
        <v>0</v>
      </c>
      <c r="M20" s="72">
        <f t="shared" si="9"/>
        <v>27335.79</v>
      </c>
      <c r="N20" s="78">
        <v>19488.63</v>
      </c>
      <c r="O20" s="76">
        <v>5068.18</v>
      </c>
      <c r="P20" s="79">
        <f t="shared" si="10"/>
        <v>14420.45</v>
      </c>
      <c r="Q20" s="76">
        <v>7661.8200000000006</v>
      </c>
      <c r="R20" s="80">
        <v>185.34</v>
      </c>
      <c r="S20" s="80">
        <v>0</v>
      </c>
      <c r="T20" s="81">
        <v>27335.790000000005</v>
      </c>
      <c r="U20" s="82">
        <f t="shared" si="11"/>
        <v>0</v>
      </c>
    </row>
    <row r="21" spans="2:21">
      <c r="B21" s="86" t="s">
        <v>97</v>
      </c>
      <c r="C21" s="71" t="s">
        <v>98</v>
      </c>
      <c r="D21" s="85">
        <v>44348</v>
      </c>
      <c r="E21" s="87">
        <v>9.9242424242424201E-2</v>
      </c>
      <c r="F21" s="72">
        <f t="shared" si="2"/>
        <v>247986.68702290085</v>
      </c>
      <c r="G21" s="73">
        <f t="shared" si="3"/>
        <v>177946.98320610693</v>
      </c>
      <c r="H21" s="74">
        <f t="shared" si="4"/>
        <v>45253.429007633604</v>
      </c>
      <c r="I21" s="75">
        <f t="shared" si="5"/>
        <v>132693.55419847334</v>
      </c>
      <c r="J21" s="76">
        <f t="shared" si="6"/>
        <v>69590.400000000023</v>
      </c>
      <c r="K21" s="77">
        <f t="shared" si="7"/>
        <v>449.30381679389319</v>
      </c>
      <c r="L21" s="77">
        <f t="shared" si="8"/>
        <v>0</v>
      </c>
      <c r="M21" s="72">
        <f t="shared" si="9"/>
        <v>24610.799999999999</v>
      </c>
      <c r="N21" s="78">
        <v>17659.89</v>
      </c>
      <c r="O21" s="76">
        <v>4491.0599999999995</v>
      </c>
      <c r="P21" s="79">
        <f t="shared" si="10"/>
        <v>13168.83</v>
      </c>
      <c r="Q21" s="76">
        <v>6906.32</v>
      </c>
      <c r="R21" s="80">
        <v>44.589999999999989</v>
      </c>
      <c r="S21" s="80">
        <v>0</v>
      </c>
      <c r="T21" s="81">
        <v>24610.799999999992</v>
      </c>
      <c r="U21" s="82">
        <f t="shared" si="11"/>
        <v>0</v>
      </c>
    </row>
    <row r="22" spans="2:21">
      <c r="B22" s="86" t="s">
        <v>99</v>
      </c>
      <c r="C22" s="71" t="s">
        <v>100</v>
      </c>
      <c r="D22" s="85">
        <v>44391</v>
      </c>
      <c r="E22" s="87">
        <v>0.44659090909090898</v>
      </c>
      <c r="F22" s="72">
        <f t="shared" si="2"/>
        <v>502118.57302798989</v>
      </c>
      <c r="G22" s="73">
        <f t="shared" si="3"/>
        <v>361217.27226463106</v>
      </c>
      <c r="H22" s="74">
        <f t="shared" si="4"/>
        <v>123214.3083969466</v>
      </c>
      <c r="I22" s="75">
        <f t="shared" si="5"/>
        <v>238002.96386768448</v>
      </c>
      <c r="J22" s="76">
        <f t="shared" si="6"/>
        <v>132133.25394402037</v>
      </c>
      <c r="K22" s="77">
        <f t="shared" si="7"/>
        <v>8768.046819338424</v>
      </c>
      <c r="L22" s="77">
        <f t="shared" si="8"/>
        <v>0</v>
      </c>
      <c r="M22" s="72">
        <f t="shared" si="9"/>
        <v>224241.58999999997</v>
      </c>
      <c r="N22" s="78">
        <v>161316.34999999998</v>
      </c>
      <c r="O22" s="76">
        <v>55026.39</v>
      </c>
      <c r="P22" s="79">
        <f t="shared" si="10"/>
        <v>106289.95999999998</v>
      </c>
      <c r="Q22" s="76">
        <v>59009.509999999987</v>
      </c>
      <c r="R22" s="80">
        <v>3915.73</v>
      </c>
      <c r="S22" s="80">
        <v>0</v>
      </c>
      <c r="T22" s="81">
        <v>224241.58999999997</v>
      </c>
      <c r="U22" s="82">
        <f t="shared" si="11"/>
        <v>0</v>
      </c>
    </row>
    <row r="23" spans="2:21">
      <c r="B23" s="70" t="s">
        <v>101</v>
      </c>
      <c r="C23" s="71" t="s">
        <v>102</v>
      </c>
      <c r="D23" s="85">
        <v>44396</v>
      </c>
      <c r="E23" s="87">
        <v>0.39696969696969697</v>
      </c>
      <c r="F23" s="72">
        <f t="shared" si="2"/>
        <v>506030.6656488548</v>
      </c>
      <c r="G23" s="73">
        <f t="shared" si="3"/>
        <v>365835.2793893129</v>
      </c>
      <c r="H23" s="74">
        <f t="shared" si="4"/>
        <v>115678.85496183208</v>
      </c>
      <c r="I23" s="75">
        <f t="shared" si="5"/>
        <v>250156.42442748082</v>
      </c>
      <c r="J23" s="76">
        <f t="shared" si="6"/>
        <v>138891.53358778622</v>
      </c>
      <c r="K23" s="77">
        <f t="shared" si="7"/>
        <v>1303.8526717557252</v>
      </c>
      <c r="L23" s="77">
        <f t="shared" si="8"/>
        <v>0</v>
      </c>
      <c r="M23" s="72">
        <f t="shared" si="9"/>
        <v>200878.83999999994</v>
      </c>
      <c r="N23" s="78">
        <v>145225.51999999996</v>
      </c>
      <c r="O23" s="76">
        <v>45921.000000000007</v>
      </c>
      <c r="P23" s="79">
        <f t="shared" si="10"/>
        <v>99304.51999999996</v>
      </c>
      <c r="Q23" s="76">
        <v>55135.729999999989</v>
      </c>
      <c r="R23" s="80">
        <v>517.59</v>
      </c>
      <c r="S23" s="80">
        <v>0</v>
      </c>
      <c r="T23" s="81">
        <v>200878.84000000003</v>
      </c>
      <c r="U23" s="82">
        <f t="shared" si="11"/>
        <v>0</v>
      </c>
    </row>
    <row r="24" spans="2:21">
      <c r="B24" s="70" t="s">
        <v>103</v>
      </c>
      <c r="C24" s="71" t="s">
        <v>104</v>
      </c>
      <c r="D24" s="85">
        <v>44398</v>
      </c>
      <c r="E24" s="87">
        <v>0.84356060606060601</v>
      </c>
      <c r="F24" s="72">
        <f t="shared" si="2"/>
        <v>493312.14261338121</v>
      </c>
      <c r="G24" s="73">
        <f t="shared" si="3"/>
        <v>357931.35410866636</v>
      </c>
      <c r="H24" s="74">
        <f t="shared" si="4"/>
        <v>144411.17700942972</v>
      </c>
      <c r="I24" s="75">
        <f t="shared" si="5"/>
        <v>213520.17709923661</v>
      </c>
      <c r="J24" s="76">
        <f t="shared" si="6"/>
        <v>130267.74746295463</v>
      </c>
      <c r="K24" s="77">
        <f t="shared" si="7"/>
        <v>5113.0410417602161</v>
      </c>
      <c r="L24" s="77">
        <f t="shared" si="8"/>
        <v>0</v>
      </c>
      <c r="M24" s="72">
        <f t="shared" si="9"/>
        <v>416138.68999999994</v>
      </c>
      <c r="N24" s="78">
        <v>301936.78999999998</v>
      </c>
      <c r="O24" s="76">
        <v>121819.58</v>
      </c>
      <c r="P24" s="79">
        <f t="shared" si="10"/>
        <v>180117.20999999996</v>
      </c>
      <c r="Q24" s="76">
        <v>109888.73999999998</v>
      </c>
      <c r="R24" s="80">
        <v>4313.16</v>
      </c>
      <c r="S24" s="80">
        <v>0</v>
      </c>
      <c r="T24" s="81">
        <v>416138.69000000006</v>
      </c>
      <c r="U24" s="82">
        <f t="shared" si="11"/>
        <v>0</v>
      </c>
    </row>
    <row r="25" spans="2:21">
      <c r="B25" s="70" t="s">
        <v>105</v>
      </c>
      <c r="C25" s="71" t="s">
        <v>106</v>
      </c>
      <c r="D25" s="85">
        <v>44401</v>
      </c>
      <c r="E25" s="87">
        <v>0.59545454545454501</v>
      </c>
      <c r="F25" s="72">
        <f t="shared" si="2"/>
        <v>649388.4595419853</v>
      </c>
      <c r="G25" s="73">
        <f t="shared" si="3"/>
        <v>477725.88549618365</v>
      </c>
      <c r="H25" s="74">
        <f t="shared" si="4"/>
        <v>185705.05648854974</v>
      </c>
      <c r="I25" s="75">
        <f t="shared" si="5"/>
        <v>292020.8290076339</v>
      </c>
      <c r="J25" s="76">
        <f t="shared" si="6"/>
        <v>171458.141984733</v>
      </c>
      <c r="K25" s="77">
        <f t="shared" si="7"/>
        <v>204.43206106870241</v>
      </c>
      <c r="L25" s="77">
        <f t="shared" si="8"/>
        <v>0</v>
      </c>
      <c r="M25" s="72">
        <f t="shared" si="9"/>
        <v>386681.31000000006</v>
      </c>
      <c r="N25" s="78">
        <v>284464.05000000005</v>
      </c>
      <c r="O25" s="76">
        <v>110578.92</v>
      </c>
      <c r="P25" s="79">
        <f t="shared" si="10"/>
        <v>173885.13000000006</v>
      </c>
      <c r="Q25" s="76">
        <v>102095.53000000003</v>
      </c>
      <c r="R25" s="80">
        <v>121.72999999999999</v>
      </c>
      <c r="S25" s="80">
        <v>0</v>
      </c>
      <c r="T25" s="81">
        <v>386681.31000000011</v>
      </c>
      <c r="U25" s="82">
        <f t="shared" si="11"/>
        <v>0</v>
      </c>
    </row>
    <row r="26" spans="2:21">
      <c r="B26" s="70" t="s">
        <v>107</v>
      </c>
      <c r="C26" s="71" t="s">
        <v>108</v>
      </c>
      <c r="D26" s="85">
        <v>44403</v>
      </c>
      <c r="E26" s="87">
        <v>4.9621212121212101E-2</v>
      </c>
      <c r="F26" s="72">
        <f t="shared" si="2"/>
        <v>299885.86259541998</v>
      </c>
      <c r="G26" s="73">
        <f t="shared" si="3"/>
        <v>276288.29312977113</v>
      </c>
      <c r="H26" s="74">
        <f t="shared" si="4"/>
        <v>51296.610687022927</v>
      </c>
      <c r="I26" s="75">
        <f t="shared" si="5"/>
        <v>224991.68244274819</v>
      </c>
      <c r="J26" s="76">
        <f t="shared" si="6"/>
        <v>23133.856488549623</v>
      </c>
      <c r="K26" s="77">
        <f t="shared" si="7"/>
        <v>463.71297709923681</v>
      </c>
      <c r="L26" s="77">
        <f t="shared" si="8"/>
        <v>0</v>
      </c>
      <c r="M26" s="72">
        <f t="shared" si="9"/>
        <v>14880.7</v>
      </c>
      <c r="N26" s="78">
        <v>13709.76</v>
      </c>
      <c r="O26" s="76">
        <v>2545.4</v>
      </c>
      <c r="P26" s="79">
        <f t="shared" si="10"/>
        <v>11164.36</v>
      </c>
      <c r="Q26" s="76">
        <v>1147.9299999999998</v>
      </c>
      <c r="R26" s="80">
        <v>23.009999999999998</v>
      </c>
      <c r="S26" s="80">
        <v>0</v>
      </c>
      <c r="T26" s="81">
        <v>14880.7</v>
      </c>
      <c r="U26" s="82">
        <f t="shared" si="11"/>
        <v>0</v>
      </c>
    </row>
    <row r="27" spans="2:21">
      <c r="B27" s="70" t="s">
        <v>109</v>
      </c>
      <c r="C27" s="71" t="s">
        <v>110</v>
      </c>
      <c r="D27" s="85">
        <v>44406</v>
      </c>
      <c r="E27" s="87">
        <v>0.44659090909090898</v>
      </c>
      <c r="F27" s="72">
        <f t="shared" si="2"/>
        <v>540367.6274809161</v>
      </c>
      <c r="G27" s="73">
        <f t="shared" si="3"/>
        <v>399393.97862595425</v>
      </c>
      <c r="H27" s="74">
        <f t="shared" si="4"/>
        <v>128118.88651399493</v>
      </c>
      <c r="I27" s="75">
        <f t="shared" si="5"/>
        <v>271275.0921119593</v>
      </c>
      <c r="J27" s="76">
        <f t="shared" si="6"/>
        <v>138502.59541984738</v>
      </c>
      <c r="K27" s="77">
        <f t="shared" si="7"/>
        <v>2471.0534351145038</v>
      </c>
      <c r="L27" s="77">
        <f t="shared" si="8"/>
        <v>0</v>
      </c>
      <c r="M27" s="72">
        <f t="shared" si="9"/>
        <v>241323.26999999996</v>
      </c>
      <c r="N27" s="78">
        <v>178365.71999999997</v>
      </c>
      <c r="O27" s="76">
        <v>57216.729999999996</v>
      </c>
      <c r="P27" s="79">
        <f t="shared" si="10"/>
        <v>121148.98999999998</v>
      </c>
      <c r="Q27" s="76">
        <v>61854.000000000007</v>
      </c>
      <c r="R27" s="80">
        <v>1103.5499999999997</v>
      </c>
      <c r="S27" s="80">
        <v>0</v>
      </c>
      <c r="T27" s="81">
        <v>241323.26999999993</v>
      </c>
      <c r="U27" s="82">
        <f t="shared" si="11"/>
        <v>0</v>
      </c>
    </row>
    <row r="28" spans="2:21">
      <c r="B28" s="70" t="s">
        <v>111</v>
      </c>
      <c r="C28" s="71" t="s">
        <v>112</v>
      </c>
      <c r="D28" s="85">
        <v>44410</v>
      </c>
      <c r="E28" s="87">
        <v>0.29772727272727301</v>
      </c>
      <c r="F28" s="72">
        <f t="shared" si="2"/>
        <v>335011.02900763322</v>
      </c>
      <c r="G28" s="73">
        <f t="shared" si="3"/>
        <v>250564.24732824403</v>
      </c>
      <c r="H28" s="74">
        <f t="shared" si="4"/>
        <v>135607.96641221363</v>
      </c>
      <c r="I28" s="75">
        <f t="shared" si="5"/>
        <v>114956.28091603039</v>
      </c>
      <c r="J28" s="76">
        <f t="shared" si="6"/>
        <v>80072.207633587692</v>
      </c>
      <c r="K28" s="77">
        <f t="shared" si="7"/>
        <v>4374.5740458015225</v>
      </c>
      <c r="L28" s="77">
        <f t="shared" si="8"/>
        <v>0</v>
      </c>
      <c r="M28" s="72">
        <f t="shared" si="9"/>
        <v>99741.919999999984</v>
      </c>
      <c r="N28" s="78">
        <v>74599.81</v>
      </c>
      <c r="O28" s="76">
        <v>40374.19000000001</v>
      </c>
      <c r="P28" s="79">
        <f t="shared" si="10"/>
        <v>34225.619999999988</v>
      </c>
      <c r="Q28" s="76">
        <v>23839.679999999993</v>
      </c>
      <c r="R28" s="80">
        <v>1302.43</v>
      </c>
      <c r="S28" s="80">
        <v>0</v>
      </c>
      <c r="T28" s="81">
        <v>99741.92</v>
      </c>
      <c r="U28" s="82">
        <f t="shared" si="11"/>
        <v>0</v>
      </c>
    </row>
    <row r="29" spans="2:21">
      <c r="B29" s="70" t="s">
        <v>113</v>
      </c>
      <c r="C29" s="71" t="s">
        <v>114</v>
      </c>
      <c r="D29" s="85">
        <v>44415</v>
      </c>
      <c r="E29" s="87">
        <v>0.84356060606060601</v>
      </c>
      <c r="F29" s="72">
        <f t="shared" si="2"/>
        <v>802155.19209699158</v>
      </c>
      <c r="G29" s="73">
        <f t="shared" si="3"/>
        <v>742808.48998652899</v>
      </c>
      <c r="H29" s="74">
        <f t="shared" si="4"/>
        <v>70072.724562191288</v>
      </c>
      <c r="I29" s="75">
        <f t="shared" si="5"/>
        <v>672735.7654243377</v>
      </c>
      <c r="J29" s="76">
        <f t="shared" si="6"/>
        <v>48398.715761113599</v>
      </c>
      <c r="K29" s="77">
        <f t="shared" si="7"/>
        <v>10947.986349348901</v>
      </c>
      <c r="L29" s="77">
        <f t="shared" si="8"/>
        <v>0</v>
      </c>
      <c r="M29" s="72">
        <f t="shared" si="9"/>
        <v>676666.52</v>
      </c>
      <c r="N29" s="78">
        <v>626603.98</v>
      </c>
      <c r="O29" s="76">
        <v>59110.59</v>
      </c>
      <c r="P29" s="79">
        <f t="shared" si="10"/>
        <v>567493.39</v>
      </c>
      <c r="Q29" s="76">
        <v>40827.249999999993</v>
      </c>
      <c r="R29" s="80">
        <v>9235.2900000000009</v>
      </c>
      <c r="S29" s="80">
        <v>0</v>
      </c>
      <c r="T29" s="81">
        <v>676666.52</v>
      </c>
      <c r="U29" s="82">
        <f t="shared" si="11"/>
        <v>0</v>
      </c>
    </row>
    <row r="30" spans="2:21">
      <c r="B30" s="70" t="s">
        <v>115</v>
      </c>
      <c r="C30" s="71" t="s">
        <v>116</v>
      </c>
      <c r="D30" s="85">
        <v>44425</v>
      </c>
      <c r="E30" s="87">
        <v>0.89318181818181797</v>
      </c>
      <c r="F30" s="72">
        <f t="shared" si="2"/>
        <v>460116.17302798992</v>
      </c>
      <c r="G30" s="73">
        <f t="shared" si="3"/>
        <v>360406.40712468204</v>
      </c>
      <c r="H30" s="74">
        <f t="shared" si="4"/>
        <v>163694.90178117054</v>
      </c>
      <c r="I30" s="75">
        <f t="shared" si="5"/>
        <v>196711.50534351147</v>
      </c>
      <c r="J30" s="76">
        <f t="shared" si="6"/>
        <v>98156.767430025444</v>
      </c>
      <c r="K30" s="77">
        <f t="shared" si="7"/>
        <v>1552.998473282443</v>
      </c>
      <c r="L30" s="77">
        <f t="shared" si="8"/>
        <v>0</v>
      </c>
      <c r="M30" s="72">
        <f t="shared" si="9"/>
        <v>410967.39999999997</v>
      </c>
      <c r="N30" s="78">
        <v>321908.45</v>
      </c>
      <c r="O30" s="76">
        <v>146209.31000000003</v>
      </c>
      <c r="P30" s="79">
        <f t="shared" si="10"/>
        <v>175699.13999999998</v>
      </c>
      <c r="Q30" s="76">
        <v>87671.839999999982</v>
      </c>
      <c r="R30" s="80">
        <v>1387.11</v>
      </c>
      <c r="S30" s="80">
        <v>0</v>
      </c>
      <c r="T30" s="81">
        <v>410967.39999999997</v>
      </c>
      <c r="U30" s="82">
        <f t="shared" si="11"/>
        <v>0</v>
      </c>
    </row>
    <row r="31" spans="2:21">
      <c r="B31" s="70" t="s">
        <v>117</v>
      </c>
      <c r="C31" s="71" t="s">
        <v>118</v>
      </c>
      <c r="D31" s="85">
        <v>44428</v>
      </c>
      <c r="E31" s="87">
        <v>0.44659090909090898</v>
      </c>
      <c r="F31" s="72">
        <f t="shared" si="2"/>
        <v>325037.42697201029</v>
      </c>
      <c r="G31" s="73">
        <f t="shared" si="3"/>
        <v>247058.3430025446</v>
      </c>
      <c r="H31" s="74">
        <f t="shared" si="4"/>
        <v>139260.67175572523</v>
      </c>
      <c r="I31" s="75">
        <f t="shared" si="5"/>
        <v>107797.6712468194</v>
      </c>
      <c r="J31" s="76">
        <f t="shared" si="6"/>
        <v>76974.271755725204</v>
      </c>
      <c r="K31" s="77">
        <f t="shared" si="7"/>
        <v>1004.8122137404581</v>
      </c>
      <c r="L31" s="77">
        <f t="shared" si="8"/>
        <v>0</v>
      </c>
      <c r="M31" s="72">
        <f t="shared" si="9"/>
        <v>145158.76</v>
      </c>
      <c r="N31" s="78">
        <v>110334.01000000001</v>
      </c>
      <c r="O31" s="76">
        <v>62192.549999999996</v>
      </c>
      <c r="P31" s="79">
        <f t="shared" si="10"/>
        <v>48141.460000000014</v>
      </c>
      <c r="Q31" s="76">
        <v>34376.009999999995</v>
      </c>
      <c r="R31" s="80">
        <v>448.73999999999995</v>
      </c>
      <c r="S31" s="80">
        <v>0</v>
      </c>
      <c r="T31" s="81">
        <v>145158.75999999995</v>
      </c>
      <c r="U31" s="82">
        <f t="shared" si="11"/>
        <v>0</v>
      </c>
    </row>
    <row r="32" spans="2:21">
      <c r="B32" s="70" t="s">
        <v>119</v>
      </c>
      <c r="C32" s="71" t="s">
        <v>120</v>
      </c>
      <c r="D32" s="85">
        <v>44436</v>
      </c>
      <c r="E32" s="87">
        <v>0.54583333333333295</v>
      </c>
      <c r="F32" s="72">
        <f t="shared" si="2"/>
        <v>517543.56641221407</v>
      </c>
      <c r="G32" s="73">
        <f t="shared" si="3"/>
        <v>376890.96183206135</v>
      </c>
      <c r="H32" s="74">
        <f t="shared" si="4"/>
        <v>103953.70992366417</v>
      </c>
      <c r="I32" s="75">
        <f t="shared" si="5"/>
        <v>272937.25190839713</v>
      </c>
      <c r="J32" s="76">
        <f t="shared" si="6"/>
        <v>134575.3648854963</v>
      </c>
      <c r="K32" s="77">
        <f t="shared" si="7"/>
        <v>6077.2396946564922</v>
      </c>
      <c r="L32" s="77">
        <f t="shared" si="8"/>
        <v>0</v>
      </c>
      <c r="M32" s="72">
        <f t="shared" si="9"/>
        <v>282492.52999999997</v>
      </c>
      <c r="N32" s="78">
        <v>205719.65</v>
      </c>
      <c r="O32" s="76">
        <v>56741.399999999987</v>
      </c>
      <c r="P32" s="79">
        <f t="shared" si="10"/>
        <v>148978.25</v>
      </c>
      <c r="Q32" s="76">
        <v>73455.720000000016</v>
      </c>
      <c r="R32" s="80">
        <v>3317.16</v>
      </c>
      <c r="S32" s="80">
        <v>0</v>
      </c>
      <c r="T32" s="81">
        <v>282492.53000000003</v>
      </c>
      <c r="U32" s="82">
        <f t="shared" si="11"/>
        <v>0</v>
      </c>
    </row>
    <row r="33" spans="2:21">
      <c r="B33" s="70" t="s">
        <v>121</v>
      </c>
      <c r="C33" s="71" t="s">
        <v>122</v>
      </c>
      <c r="D33" s="85">
        <v>44429</v>
      </c>
      <c r="E33" s="87">
        <v>4.9621212121212101E-2</v>
      </c>
      <c r="F33" s="72">
        <f t="shared" si="2"/>
        <v>629403.20610687044</v>
      </c>
      <c r="G33" s="73">
        <f t="shared" si="3"/>
        <v>546062.63816793915</v>
      </c>
      <c r="H33" s="74">
        <f t="shared" si="4"/>
        <v>73582.442748091635</v>
      </c>
      <c r="I33" s="75">
        <f t="shared" si="5"/>
        <v>472480.19541984756</v>
      </c>
      <c r="J33" s="76">
        <f t="shared" si="6"/>
        <v>79576.048854961875</v>
      </c>
      <c r="K33" s="77">
        <f t="shared" si="7"/>
        <v>3764.5190839694674</v>
      </c>
      <c r="L33" s="77">
        <f t="shared" si="8"/>
        <v>0</v>
      </c>
      <c r="M33" s="72">
        <f t="shared" si="9"/>
        <v>31231.75</v>
      </c>
      <c r="N33" s="78">
        <v>27096.29</v>
      </c>
      <c r="O33" s="76">
        <v>3651.25</v>
      </c>
      <c r="P33" s="79">
        <f t="shared" si="10"/>
        <v>23445.040000000001</v>
      </c>
      <c r="Q33" s="76">
        <v>3948.6600000000003</v>
      </c>
      <c r="R33" s="80">
        <v>186.8</v>
      </c>
      <c r="S33" s="80">
        <v>0</v>
      </c>
      <c r="T33" s="81">
        <v>31231.75</v>
      </c>
      <c r="U33" s="82">
        <f t="shared" si="11"/>
        <v>0</v>
      </c>
    </row>
    <row r="34" spans="2:21">
      <c r="B34" s="70" t="s">
        <v>123</v>
      </c>
      <c r="C34" s="71" t="s">
        <v>124</v>
      </c>
      <c r="D34" s="85">
        <v>44408</v>
      </c>
      <c r="E34" s="87">
        <v>0.148863636363636</v>
      </c>
      <c r="F34" s="72">
        <f t="shared" si="2"/>
        <v>462854.87633587903</v>
      </c>
      <c r="G34" s="73">
        <f t="shared" si="3"/>
        <v>415452.56793893228</v>
      </c>
      <c r="H34" s="74">
        <f t="shared" si="4"/>
        <v>59126.46106870244</v>
      </c>
      <c r="I34" s="75">
        <f t="shared" si="5"/>
        <v>356326.10687022988</v>
      </c>
      <c r="J34" s="76">
        <f t="shared" si="6"/>
        <v>44257.416793893244</v>
      </c>
      <c r="K34" s="77">
        <f t="shared" si="7"/>
        <v>3144.8916030534419</v>
      </c>
      <c r="L34" s="77">
        <f t="shared" si="8"/>
        <v>0</v>
      </c>
      <c r="M34" s="72">
        <f t="shared" si="9"/>
        <v>68902.260000000009</v>
      </c>
      <c r="N34" s="78">
        <v>61845.78</v>
      </c>
      <c r="O34" s="76">
        <v>8801.7800000000007</v>
      </c>
      <c r="P34" s="79">
        <f t="shared" si="10"/>
        <v>53044</v>
      </c>
      <c r="Q34" s="76">
        <v>6588.3200000000015</v>
      </c>
      <c r="R34" s="80">
        <v>468.15999999999991</v>
      </c>
      <c r="S34" s="80">
        <v>0</v>
      </c>
      <c r="T34" s="81">
        <v>68902.259999999995</v>
      </c>
      <c r="U34" s="82">
        <f t="shared" si="11"/>
        <v>0</v>
      </c>
    </row>
    <row r="35" spans="2:21">
      <c r="B35" s="70" t="s">
        <v>125</v>
      </c>
      <c r="C35" s="71" t="s">
        <v>126</v>
      </c>
      <c r="D35" s="85">
        <v>44454</v>
      </c>
      <c r="E35" s="87">
        <v>0.49621212121212099</v>
      </c>
      <c r="F35" s="72">
        <f t="shared" si="2"/>
        <v>677910.46534351166</v>
      </c>
      <c r="G35" s="73">
        <f t="shared" si="3"/>
        <v>496861.44183206127</v>
      </c>
      <c r="H35" s="74">
        <f t="shared" si="4"/>
        <v>145518.51297709928</v>
      </c>
      <c r="I35" s="75">
        <f t="shared" si="5"/>
        <v>351342.928854962</v>
      </c>
      <c r="J35" s="76">
        <f t="shared" si="6"/>
        <v>178510.95572519093</v>
      </c>
      <c r="K35" s="77">
        <f t="shared" si="7"/>
        <v>2538.0677862595426</v>
      </c>
      <c r="L35" s="77">
        <f t="shared" si="8"/>
        <v>0</v>
      </c>
      <c r="M35" s="72">
        <f t="shared" si="9"/>
        <v>336387.38999999996</v>
      </c>
      <c r="N35" s="78">
        <v>246548.66999999998</v>
      </c>
      <c r="O35" s="76">
        <v>72208.049999999988</v>
      </c>
      <c r="P35" s="79">
        <f t="shared" si="10"/>
        <v>174340.62</v>
      </c>
      <c r="Q35" s="76">
        <v>88579.3</v>
      </c>
      <c r="R35" s="80">
        <v>1259.4199999999998</v>
      </c>
      <c r="S35" s="80">
        <v>0</v>
      </c>
      <c r="T35" s="81">
        <v>336387.38999999996</v>
      </c>
      <c r="U35" s="82">
        <f t="shared" si="11"/>
        <v>0</v>
      </c>
    </row>
    <row r="36" spans="2:21">
      <c r="B36" s="70" t="s">
        <v>127</v>
      </c>
      <c r="C36" s="71" t="s">
        <v>128</v>
      </c>
      <c r="D36" s="85">
        <v>44457</v>
      </c>
      <c r="E36" s="87">
        <v>0.34734848484848502</v>
      </c>
      <c r="F36" s="72">
        <f t="shared" si="2"/>
        <v>371255.31166848401</v>
      </c>
      <c r="G36" s="73">
        <f t="shared" si="3"/>
        <v>289499.9528898581</v>
      </c>
      <c r="H36" s="74">
        <f t="shared" si="4"/>
        <v>114434.87371864771</v>
      </c>
      <c r="I36" s="75">
        <f t="shared" si="5"/>
        <v>175065.07917121041</v>
      </c>
      <c r="J36" s="76">
        <f t="shared" si="6"/>
        <v>80051.162486368543</v>
      </c>
      <c r="K36" s="77">
        <f t="shared" si="7"/>
        <v>1704.19629225736</v>
      </c>
      <c r="L36" s="77">
        <f t="shared" si="8"/>
        <v>0</v>
      </c>
      <c r="M36" s="72">
        <f t="shared" si="9"/>
        <v>128954.97</v>
      </c>
      <c r="N36" s="78">
        <v>100557.37000000001</v>
      </c>
      <c r="O36" s="76">
        <v>39748.78</v>
      </c>
      <c r="P36" s="79">
        <f t="shared" si="10"/>
        <v>60808.590000000011</v>
      </c>
      <c r="Q36" s="76">
        <v>27805.649999999994</v>
      </c>
      <c r="R36" s="80">
        <v>591.94999999999993</v>
      </c>
      <c r="S36" s="80">
        <v>0</v>
      </c>
      <c r="T36" s="81">
        <v>128954.96999999999</v>
      </c>
      <c r="U36" s="82">
        <f t="shared" si="11"/>
        <v>0</v>
      </c>
    </row>
    <row r="37" spans="2:21">
      <c r="B37" s="70" t="s">
        <v>129</v>
      </c>
      <c r="C37" s="71" t="s">
        <v>130</v>
      </c>
      <c r="D37" s="85">
        <v>44469</v>
      </c>
      <c r="E37" s="87">
        <v>0.49621212121212099</v>
      </c>
      <c r="F37" s="72">
        <f t="shared" si="2"/>
        <v>454244.36519083998</v>
      </c>
      <c r="G37" s="73">
        <f t="shared" si="3"/>
        <v>345616.00305343536</v>
      </c>
      <c r="H37" s="74">
        <f t="shared" si="4"/>
        <v>169603.73679389321</v>
      </c>
      <c r="I37" s="75">
        <f t="shared" si="5"/>
        <v>176012.26625954211</v>
      </c>
      <c r="J37" s="76">
        <f t="shared" si="6"/>
        <v>106649.38992366417</v>
      </c>
      <c r="K37" s="77">
        <f t="shared" si="7"/>
        <v>1978.972213740459</v>
      </c>
      <c r="L37" s="77">
        <f t="shared" si="8"/>
        <v>0</v>
      </c>
      <c r="M37" s="72">
        <f t="shared" si="9"/>
        <v>225401.56000000003</v>
      </c>
      <c r="N37" s="78">
        <v>171498.85000000003</v>
      </c>
      <c r="O37" s="76">
        <v>84159.430000000008</v>
      </c>
      <c r="P37" s="79">
        <f t="shared" si="10"/>
        <v>87339.420000000027</v>
      </c>
      <c r="Q37" s="76">
        <v>52920.72</v>
      </c>
      <c r="R37" s="80">
        <v>981.99</v>
      </c>
      <c r="S37" s="80">
        <v>0</v>
      </c>
      <c r="T37" s="81">
        <v>225401.56000000006</v>
      </c>
      <c r="U37" s="82">
        <f t="shared" si="11"/>
        <v>0</v>
      </c>
    </row>
    <row r="38" spans="2:21">
      <c r="B38" s="70" t="s">
        <v>131</v>
      </c>
      <c r="C38" s="71" t="s">
        <v>132</v>
      </c>
      <c r="D38" s="85">
        <v>44473</v>
      </c>
      <c r="E38" s="87">
        <v>0.39696969696969697</v>
      </c>
      <c r="F38" s="72">
        <f t="shared" si="2"/>
        <v>412719.79007633589</v>
      </c>
      <c r="G38" s="73">
        <f t="shared" si="3"/>
        <v>286249.78396946564</v>
      </c>
      <c r="H38" s="74">
        <f t="shared" si="4"/>
        <v>46322.553435114511</v>
      </c>
      <c r="I38" s="75">
        <f t="shared" si="5"/>
        <v>239927.23053435114</v>
      </c>
      <c r="J38" s="76">
        <f t="shared" si="6"/>
        <v>126142.5</v>
      </c>
      <c r="K38" s="77">
        <f t="shared" si="7"/>
        <v>327.50610687022896</v>
      </c>
      <c r="L38" s="77">
        <f t="shared" si="8"/>
        <v>0</v>
      </c>
      <c r="M38" s="72">
        <f t="shared" si="9"/>
        <v>163837.25</v>
      </c>
      <c r="N38" s="78">
        <v>113632.48999999999</v>
      </c>
      <c r="O38" s="76">
        <v>18388.650000000001</v>
      </c>
      <c r="P38" s="79">
        <f t="shared" si="10"/>
        <v>95243.839999999997</v>
      </c>
      <c r="Q38" s="76">
        <v>50074.75</v>
      </c>
      <c r="R38" s="80">
        <v>130.01</v>
      </c>
      <c r="S38" s="80">
        <v>0</v>
      </c>
      <c r="T38" s="81">
        <v>163837.24999999991</v>
      </c>
      <c r="U38" s="82">
        <f t="shared" si="11"/>
        <v>0</v>
      </c>
    </row>
    <row r="39" spans="2:21">
      <c r="B39" s="70" t="s">
        <v>133</v>
      </c>
      <c r="C39" s="71" t="s">
        <v>134</v>
      </c>
      <c r="D39" s="85">
        <v>44477</v>
      </c>
      <c r="E39" s="87">
        <v>0.49621212121212099</v>
      </c>
      <c r="F39" s="72">
        <f t="shared" si="2"/>
        <v>511835.60244274826</v>
      </c>
      <c r="G39" s="73">
        <f t="shared" si="3"/>
        <v>384507.87847328262</v>
      </c>
      <c r="H39" s="74">
        <f t="shared" si="4"/>
        <v>188793.2720610688</v>
      </c>
      <c r="I39" s="75">
        <f t="shared" si="5"/>
        <v>195714.60641221382</v>
      </c>
      <c r="J39" s="76">
        <f t="shared" si="6"/>
        <v>118511.31297709925</v>
      </c>
      <c r="K39" s="77">
        <f t="shared" si="7"/>
        <v>8816.4109923664164</v>
      </c>
      <c r="L39" s="77">
        <f t="shared" si="8"/>
        <v>0</v>
      </c>
      <c r="M39" s="72">
        <f t="shared" si="9"/>
        <v>253979.02999999997</v>
      </c>
      <c r="N39" s="78">
        <v>190797.47</v>
      </c>
      <c r="O39" s="76">
        <v>93681.510000000009</v>
      </c>
      <c r="P39" s="79">
        <f t="shared" si="10"/>
        <v>97115.959999999992</v>
      </c>
      <c r="Q39" s="76">
        <v>58806.749999999985</v>
      </c>
      <c r="R39" s="80">
        <v>4374.8100000000004</v>
      </c>
      <c r="S39" s="80">
        <v>0</v>
      </c>
      <c r="T39" s="81">
        <v>253979.02999999997</v>
      </c>
      <c r="U39" s="82">
        <f t="shared" si="11"/>
        <v>0</v>
      </c>
    </row>
    <row r="40" spans="2:21">
      <c r="B40" s="70" t="s">
        <v>135</v>
      </c>
      <c r="C40" s="71" t="s">
        <v>136</v>
      </c>
      <c r="D40" s="85">
        <v>44471</v>
      </c>
      <c r="E40" s="87">
        <v>9.9242424242424201E-2</v>
      </c>
      <c r="F40" s="72">
        <f t="shared" si="2"/>
        <v>216332.38167938942</v>
      </c>
      <c r="G40" s="73">
        <f t="shared" si="3"/>
        <v>195080.58320610697</v>
      </c>
      <c r="H40" s="74">
        <f t="shared" si="4"/>
        <v>42475.685496183221</v>
      </c>
      <c r="I40" s="75">
        <f t="shared" si="5"/>
        <v>152604.89770992374</v>
      </c>
      <c r="J40" s="76">
        <f t="shared" si="6"/>
        <v>20064.906870229017</v>
      </c>
      <c r="K40" s="77">
        <f t="shared" si="7"/>
        <v>1186.891603053436</v>
      </c>
      <c r="L40" s="77">
        <f t="shared" si="8"/>
        <v>0</v>
      </c>
      <c r="M40" s="72">
        <f t="shared" si="9"/>
        <v>21469.350000000002</v>
      </c>
      <c r="N40" s="78">
        <v>19360.27</v>
      </c>
      <c r="O40" s="76">
        <v>4215.3899999999994</v>
      </c>
      <c r="P40" s="79">
        <f t="shared" si="10"/>
        <v>15144.880000000001</v>
      </c>
      <c r="Q40" s="76">
        <v>1991.2900000000002</v>
      </c>
      <c r="R40" s="80">
        <v>117.79000000000003</v>
      </c>
      <c r="S40" s="80">
        <v>0</v>
      </c>
      <c r="T40" s="81">
        <v>21469.35</v>
      </c>
      <c r="U40" s="82">
        <f t="shared" si="11"/>
        <v>0</v>
      </c>
    </row>
    <row r="41" spans="2:21">
      <c r="B41" s="70" t="s">
        <v>137</v>
      </c>
      <c r="C41" s="71" t="s">
        <v>138</v>
      </c>
      <c r="D41" s="85">
        <v>44471</v>
      </c>
      <c r="E41" s="87">
        <v>1.6375</v>
      </c>
      <c r="F41" s="72">
        <f t="shared" si="2"/>
        <v>1662055.5358778629</v>
      </c>
      <c r="G41" s="73">
        <f t="shared" si="3"/>
        <v>1488897.5877862601</v>
      </c>
      <c r="H41" s="74">
        <f t="shared" si="4"/>
        <v>183404.17099236639</v>
      </c>
      <c r="I41" s="75">
        <f t="shared" si="5"/>
        <v>1305493.4167938936</v>
      </c>
      <c r="J41" s="76">
        <f t="shared" si="6"/>
        <v>141911.18778625954</v>
      </c>
      <c r="K41" s="77">
        <f t="shared" si="7"/>
        <v>31246.760305343512</v>
      </c>
      <c r="L41" s="77">
        <f t="shared" si="8"/>
        <v>0</v>
      </c>
      <c r="M41" s="72">
        <f t="shared" si="9"/>
        <v>2721615.9400000004</v>
      </c>
      <c r="N41" s="78">
        <v>2438069.8000000007</v>
      </c>
      <c r="O41" s="76">
        <v>300324.32999999996</v>
      </c>
      <c r="P41" s="79">
        <f t="shared" si="10"/>
        <v>2137745.4700000007</v>
      </c>
      <c r="Q41" s="76">
        <v>232379.56999999998</v>
      </c>
      <c r="R41" s="80">
        <v>51166.57</v>
      </c>
      <c r="S41" s="80">
        <v>0</v>
      </c>
      <c r="T41" s="81">
        <v>2721615.94</v>
      </c>
      <c r="U41" s="82">
        <f t="shared" si="11"/>
        <v>0</v>
      </c>
    </row>
    <row r="42" spans="2:21" s="100" customFormat="1" ht="13.9" customHeight="1">
      <c r="B42" s="83" t="s">
        <v>139</v>
      </c>
      <c r="C42" s="88" t="s">
        <v>140</v>
      </c>
      <c r="D42" s="89">
        <v>44545</v>
      </c>
      <c r="E42" s="84">
        <v>0.54583333333333295</v>
      </c>
      <c r="F42" s="90">
        <f t="shared" si="2"/>
        <v>347515.65801526746</v>
      </c>
      <c r="G42" s="91">
        <f t="shared" si="3"/>
        <v>243935.54198473299</v>
      </c>
      <c r="H42" s="92">
        <f t="shared" si="4"/>
        <v>71255.853435114535</v>
      </c>
      <c r="I42" s="93">
        <f t="shared" si="5"/>
        <v>172679.68854961844</v>
      </c>
      <c r="J42" s="94">
        <f t="shared" si="6"/>
        <v>100605.8931297711</v>
      </c>
      <c r="K42" s="94">
        <f t="shared" si="7"/>
        <v>2974.2229007633614</v>
      </c>
      <c r="L42" s="94">
        <f t="shared" si="8"/>
        <v>0</v>
      </c>
      <c r="M42" s="90">
        <f t="shared" si="9"/>
        <v>189685.63</v>
      </c>
      <c r="N42" s="95">
        <v>133148.15</v>
      </c>
      <c r="O42" s="94">
        <v>38893.819999999992</v>
      </c>
      <c r="P42" s="96">
        <f t="shared" si="10"/>
        <v>94254.33</v>
      </c>
      <c r="Q42" s="94">
        <v>54914.050000000017</v>
      </c>
      <c r="R42" s="97">
        <v>1623.4300000000003</v>
      </c>
      <c r="S42" s="97">
        <v>0</v>
      </c>
      <c r="T42" s="98">
        <v>189685.62999999992</v>
      </c>
      <c r="U42" s="99">
        <f t="shared" si="11"/>
        <v>0</v>
      </c>
    </row>
    <row r="43" spans="2:21">
      <c r="B43" s="70" t="s">
        <v>141</v>
      </c>
      <c r="C43" s="71" t="s">
        <v>142</v>
      </c>
      <c r="D43" s="85">
        <v>44547</v>
      </c>
      <c r="E43" s="87">
        <v>1.3893939393939401</v>
      </c>
      <c r="F43" s="72">
        <f t="shared" si="2"/>
        <v>521867.95943293325</v>
      </c>
      <c r="G43" s="73">
        <f t="shared" si="3"/>
        <v>360293.20828789525</v>
      </c>
      <c r="H43" s="74">
        <f t="shared" si="4"/>
        <v>102364.50294438383</v>
      </c>
      <c r="I43" s="75">
        <f t="shared" si="5"/>
        <v>257928.70534351139</v>
      </c>
      <c r="J43" s="76">
        <f t="shared" si="6"/>
        <v>153276.62944383855</v>
      </c>
      <c r="K43" s="77">
        <f t="shared" si="7"/>
        <v>7611.3834242093762</v>
      </c>
      <c r="L43" s="77">
        <f t="shared" si="8"/>
        <v>686.738276990185</v>
      </c>
      <c r="M43" s="72">
        <f t="shared" si="9"/>
        <v>725080.18</v>
      </c>
      <c r="N43" s="78">
        <v>500589.20000000013</v>
      </c>
      <c r="O43" s="76">
        <v>142224.62000000002</v>
      </c>
      <c r="P43" s="79">
        <f t="shared" si="10"/>
        <v>358364.58000000007</v>
      </c>
      <c r="Q43" s="76">
        <v>212961.62000000002</v>
      </c>
      <c r="R43" s="80">
        <v>10575.210000000003</v>
      </c>
      <c r="S43" s="80">
        <v>954.15</v>
      </c>
      <c r="T43" s="81">
        <v>725080.18000000028</v>
      </c>
      <c r="U43" s="82">
        <f t="shared" si="11"/>
        <v>0</v>
      </c>
    </row>
    <row r="44" spans="2:21">
      <c r="B44" s="70" t="s">
        <v>143</v>
      </c>
      <c r="C44" s="71" t="s">
        <v>144</v>
      </c>
      <c r="D44" s="85">
        <v>44551</v>
      </c>
      <c r="E44" s="87">
        <v>0.54583333333333295</v>
      </c>
      <c r="F44" s="72">
        <f t="shared" si="2"/>
        <v>665381.27633587841</v>
      </c>
      <c r="G44" s="73">
        <f t="shared" si="3"/>
        <v>589393.19083969505</v>
      </c>
      <c r="H44" s="74">
        <f t="shared" si="4"/>
        <v>148173.60000000012</v>
      </c>
      <c r="I44" s="75">
        <f t="shared" si="5"/>
        <v>441219.59083969495</v>
      </c>
      <c r="J44" s="76">
        <f t="shared" si="6"/>
        <v>72413.734351145089</v>
      </c>
      <c r="K44" s="77">
        <f t="shared" si="7"/>
        <v>3574.3511450381698</v>
      </c>
      <c r="L44" s="77">
        <f t="shared" si="8"/>
        <v>0</v>
      </c>
      <c r="M44" s="72">
        <f t="shared" si="9"/>
        <v>363187.28</v>
      </c>
      <c r="N44" s="78">
        <v>321710.45</v>
      </c>
      <c r="O44" s="76">
        <v>80878.090000000011</v>
      </c>
      <c r="P44" s="79">
        <f t="shared" si="10"/>
        <v>240832.36</v>
      </c>
      <c r="Q44" s="76">
        <v>39525.83</v>
      </c>
      <c r="R44" s="80">
        <v>1950.9999999999995</v>
      </c>
      <c r="S44" s="80">
        <v>0</v>
      </c>
      <c r="T44" s="81">
        <v>363187.28</v>
      </c>
      <c r="U44" s="82">
        <f t="shared" si="11"/>
        <v>0</v>
      </c>
    </row>
    <row r="45" spans="2:21">
      <c r="B45" s="70" t="s">
        <v>145</v>
      </c>
      <c r="C45" s="71" t="s">
        <v>146</v>
      </c>
      <c r="D45" s="85">
        <v>44561</v>
      </c>
      <c r="E45" s="87">
        <v>1.9352272727272699</v>
      </c>
      <c r="F45" s="72">
        <f t="shared" si="2"/>
        <v>595550.96512037644</v>
      </c>
      <c r="G45" s="73">
        <f t="shared" si="3"/>
        <v>402231.84685848549</v>
      </c>
      <c r="H45" s="74">
        <f t="shared" si="4"/>
        <v>83964.861538461657</v>
      </c>
      <c r="I45" s="75">
        <f t="shared" si="5"/>
        <v>318266.98532002384</v>
      </c>
      <c r="J45" s="76">
        <f t="shared" si="6"/>
        <v>183652.06247798025</v>
      </c>
      <c r="K45" s="77">
        <f t="shared" si="7"/>
        <v>9667.0557839107605</v>
      </c>
      <c r="L45" s="77">
        <f t="shared" si="8"/>
        <v>0</v>
      </c>
      <c r="M45" s="72">
        <f t="shared" si="9"/>
        <v>1152526.4699999995</v>
      </c>
      <c r="N45" s="78">
        <v>778410.0399999998</v>
      </c>
      <c r="O45" s="76">
        <v>162491.09</v>
      </c>
      <c r="P45" s="79">
        <f t="shared" si="10"/>
        <v>615918.94999999984</v>
      </c>
      <c r="Q45" s="76">
        <v>355408.47999999986</v>
      </c>
      <c r="R45" s="80">
        <v>18707.95</v>
      </c>
      <c r="S45" s="80">
        <v>0</v>
      </c>
      <c r="T45" s="81">
        <v>1152526.47</v>
      </c>
      <c r="U45" s="82">
        <f t="shared" si="11"/>
        <v>0</v>
      </c>
    </row>
    <row r="46" spans="2:21">
      <c r="B46" s="70" t="s">
        <v>147</v>
      </c>
      <c r="C46" s="71" t="s">
        <v>148</v>
      </c>
      <c r="D46" s="85">
        <v>44581</v>
      </c>
      <c r="E46" s="87">
        <v>0</v>
      </c>
      <c r="F46" s="72">
        <f t="shared" si="2"/>
        <v>0</v>
      </c>
      <c r="G46" s="73">
        <f t="shared" si="3"/>
        <v>0</v>
      </c>
      <c r="H46" s="74">
        <f t="shared" si="4"/>
        <v>0</v>
      </c>
      <c r="I46" s="75">
        <f t="shared" si="5"/>
        <v>0</v>
      </c>
      <c r="J46" s="76">
        <f t="shared" si="6"/>
        <v>0</v>
      </c>
      <c r="K46" s="77">
        <f t="shared" si="7"/>
        <v>0</v>
      </c>
      <c r="L46" s="77">
        <f t="shared" si="8"/>
        <v>0</v>
      </c>
      <c r="M46" s="72">
        <f t="shared" si="9"/>
        <v>13200.050000000001</v>
      </c>
      <c r="N46" s="78">
        <v>11467.79</v>
      </c>
      <c r="O46" s="76">
        <v>2237.88</v>
      </c>
      <c r="P46" s="79">
        <f t="shared" si="10"/>
        <v>9229.91</v>
      </c>
      <c r="Q46" s="76">
        <v>1704.7299999999998</v>
      </c>
      <c r="R46" s="80">
        <v>27.53</v>
      </c>
      <c r="S46" s="80">
        <v>0</v>
      </c>
      <c r="T46" s="81">
        <v>13200.05</v>
      </c>
      <c r="U46" s="82">
        <f t="shared" si="11"/>
        <v>0</v>
      </c>
    </row>
    <row r="47" spans="2:21">
      <c r="B47" s="70" t="s">
        <v>149</v>
      </c>
      <c r="C47" s="71" t="s">
        <v>150</v>
      </c>
      <c r="D47" s="85">
        <v>44546</v>
      </c>
      <c r="E47" s="87">
        <v>1.33977272727273</v>
      </c>
      <c r="F47" s="72">
        <f t="shared" si="2"/>
        <v>2575263.2888888847</v>
      </c>
      <c r="G47" s="73">
        <f t="shared" si="3"/>
        <v>1799963.8975402855</v>
      </c>
      <c r="H47" s="74">
        <f t="shared" si="4"/>
        <v>309935.28346055921</v>
      </c>
      <c r="I47" s="75">
        <f t="shared" si="5"/>
        <v>1490028.6140797262</v>
      </c>
      <c r="J47" s="76">
        <f t="shared" si="6"/>
        <v>730384.90788803925</v>
      </c>
      <c r="K47" s="77">
        <f t="shared" si="7"/>
        <v>44914.483460559713</v>
      </c>
      <c r="L47" s="77">
        <f t="shared" si="8"/>
        <v>0</v>
      </c>
      <c r="M47" s="72">
        <f t="shared" si="9"/>
        <v>3450267.5200000014</v>
      </c>
      <c r="N47" s="78">
        <v>2411542.540000001</v>
      </c>
      <c r="O47" s="76">
        <v>415242.84000000008</v>
      </c>
      <c r="P47" s="79">
        <f t="shared" si="10"/>
        <v>1996299.7000000009</v>
      </c>
      <c r="Q47" s="76">
        <v>978549.78</v>
      </c>
      <c r="R47" s="80">
        <v>60175.200000000012</v>
      </c>
      <c r="S47" s="80">
        <v>0</v>
      </c>
      <c r="T47" s="81">
        <v>3450267.5200000005</v>
      </c>
      <c r="U47" s="82">
        <f t="shared" si="11"/>
        <v>0</v>
      </c>
    </row>
    <row r="48" spans="2:21">
      <c r="B48" s="70" t="s">
        <v>149</v>
      </c>
      <c r="C48" s="71" t="s">
        <v>150</v>
      </c>
      <c r="D48" s="85">
        <v>44546</v>
      </c>
      <c r="E48" s="87">
        <v>1.33977272727273</v>
      </c>
      <c r="F48" s="72">
        <f t="shared" si="2"/>
        <v>2575263.2888888847</v>
      </c>
      <c r="G48" s="73">
        <f t="shared" si="3"/>
        <v>1799963.8975402855</v>
      </c>
      <c r="H48" s="74">
        <f t="shared" si="4"/>
        <v>309935.28346055921</v>
      </c>
      <c r="I48" s="75">
        <f t="shared" si="5"/>
        <v>1490028.6140797262</v>
      </c>
      <c r="J48" s="76">
        <f t="shared" si="6"/>
        <v>730384.90788803925</v>
      </c>
      <c r="K48" s="77">
        <f t="shared" si="7"/>
        <v>44914.483460559713</v>
      </c>
      <c r="L48" s="77">
        <f t="shared" si="8"/>
        <v>0</v>
      </c>
      <c r="M48" s="72">
        <f t="shared" si="9"/>
        <v>3450267.5200000014</v>
      </c>
      <c r="N48" s="78">
        <v>2411542.540000001</v>
      </c>
      <c r="O48" s="76">
        <v>415242.84000000008</v>
      </c>
      <c r="P48" s="79">
        <f t="shared" si="10"/>
        <v>1996299.7000000009</v>
      </c>
      <c r="Q48" s="76">
        <v>978549.78</v>
      </c>
      <c r="R48" s="80">
        <v>60175.200000000012</v>
      </c>
      <c r="S48" s="80">
        <v>0</v>
      </c>
      <c r="T48" s="81">
        <v>3450267.5200000005</v>
      </c>
      <c r="U48" s="82">
        <f t="shared" si="11"/>
        <v>0</v>
      </c>
    </row>
    <row r="49" spans="2:21">
      <c r="B49" s="70" t="s">
        <v>151</v>
      </c>
      <c r="C49" s="71" t="s">
        <v>152</v>
      </c>
      <c r="D49" s="85">
        <v>44590</v>
      </c>
      <c r="E49" s="87">
        <v>9.9242424242424201E-2</v>
      </c>
      <c r="F49" s="72">
        <f t="shared" si="2"/>
        <v>1163143.6946564892</v>
      </c>
      <c r="G49" s="73">
        <f t="shared" si="3"/>
        <v>1049666.8213740464</v>
      </c>
      <c r="H49" s="74">
        <f t="shared" si="4"/>
        <v>177933.68244274816</v>
      </c>
      <c r="I49" s="75">
        <f t="shared" si="5"/>
        <v>871733.13893129816</v>
      </c>
      <c r="J49" s="76">
        <f t="shared" si="6"/>
        <v>107921.48702290084</v>
      </c>
      <c r="K49" s="77">
        <f t="shared" si="7"/>
        <v>5555.3862595419878</v>
      </c>
      <c r="L49" s="77">
        <f t="shared" si="8"/>
        <v>0</v>
      </c>
      <c r="M49" s="72">
        <f t="shared" si="9"/>
        <v>115433.20000000001</v>
      </c>
      <c r="N49" s="78">
        <v>104171.48000000001</v>
      </c>
      <c r="O49" s="76">
        <v>17658.57</v>
      </c>
      <c r="P49" s="79">
        <f t="shared" si="10"/>
        <v>86512.91</v>
      </c>
      <c r="Q49" s="76">
        <v>10710.390000000003</v>
      </c>
      <c r="R49" s="80">
        <v>551.33000000000004</v>
      </c>
      <c r="S49" s="80">
        <v>0</v>
      </c>
      <c r="T49" s="81">
        <v>115433.2</v>
      </c>
      <c r="U49" s="82">
        <f t="shared" si="11"/>
        <v>0</v>
      </c>
    </row>
    <row r="50" spans="2:21">
      <c r="B50" s="70" t="s">
        <v>153</v>
      </c>
      <c r="C50" s="71" t="s">
        <v>154</v>
      </c>
      <c r="D50" s="85">
        <v>44598</v>
      </c>
      <c r="E50" s="87">
        <v>9.9242424242424201E-2</v>
      </c>
      <c r="F50" s="72">
        <f t="shared" si="2"/>
        <v>713210.91297709965</v>
      </c>
      <c r="G50" s="73">
        <f t="shared" si="3"/>
        <v>659907.90229007672</v>
      </c>
      <c r="H50" s="74">
        <f t="shared" si="4"/>
        <v>120708.1557251909</v>
      </c>
      <c r="I50" s="75">
        <f t="shared" si="5"/>
        <v>539199.74656488572</v>
      </c>
      <c r="J50" s="76">
        <f t="shared" si="6"/>
        <v>52629.004580152701</v>
      </c>
      <c r="K50" s="77">
        <f t="shared" si="7"/>
        <v>674.00610687022925</v>
      </c>
      <c r="L50" s="77">
        <f t="shared" si="8"/>
        <v>0</v>
      </c>
      <c r="M50" s="72">
        <f t="shared" si="9"/>
        <v>70780.780000000013</v>
      </c>
      <c r="N50" s="78">
        <v>65490.860000000008</v>
      </c>
      <c r="O50" s="76">
        <v>11979.37</v>
      </c>
      <c r="P50" s="79">
        <f t="shared" si="10"/>
        <v>53511.490000000005</v>
      </c>
      <c r="Q50" s="76">
        <v>5223.0300000000007</v>
      </c>
      <c r="R50" s="80">
        <v>66.89</v>
      </c>
      <c r="S50" s="80">
        <v>0</v>
      </c>
      <c r="T50" s="81">
        <v>70780.780000000013</v>
      </c>
      <c r="U50" s="82">
        <f t="shared" si="11"/>
        <v>0</v>
      </c>
    </row>
    <row r="51" spans="2:21">
      <c r="B51" s="70" t="s">
        <v>155</v>
      </c>
      <c r="C51" s="71" t="s">
        <v>156</v>
      </c>
      <c r="D51" s="85">
        <v>44608</v>
      </c>
      <c r="E51" s="87">
        <v>4.9621212121212101E-2</v>
      </c>
      <c r="F51" s="72">
        <f t="shared" si="2"/>
        <v>462157.99694656505</v>
      </c>
      <c r="G51" s="73">
        <f t="shared" si="3"/>
        <v>300453.3618320612</v>
      </c>
      <c r="H51" s="74">
        <f t="shared" si="4"/>
        <v>68005.593893129801</v>
      </c>
      <c r="I51" s="75">
        <f t="shared" si="5"/>
        <v>232447.76793893139</v>
      </c>
      <c r="J51" s="76">
        <f t="shared" si="6"/>
        <v>161445.06870229013</v>
      </c>
      <c r="K51" s="77">
        <f t="shared" si="7"/>
        <v>259.56641221374053</v>
      </c>
      <c r="L51" s="77">
        <f t="shared" si="8"/>
        <v>0</v>
      </c>
      <c r="M51" s="72">
        <f t="shared" si="9"/>
        <v>22932.84</v>
      </c>
      <c r="N51" s="78">
        <v>14908.86</v>
      </c>
      <c r="O51" s="76">
        <v>3374.52</v>
      </c>
      <c r="P51" s="79">
        <f t="shared" si="10"/>
        <v>11534.34</v>
      </c>
      <c r="Q51" s="76">
        <v>8011.0999999999995</v>
      </c>
      <c r="R51" s="80">
        <v>12.879999999999999</v>
      </c>
      <c r="S51" s="80">
        <v>0</v>
      </c>
      <c r="T51" s="81">
        <v>22932.84</v>
      </c>
      <c r="U51" s="82">
        <f t="shared" si="11"/>
        <v>0</v>
      </c>
    </row>
    <row r="52" spans="2:21">
      <c r="B52" s="70" t="s">
        <v>157</v>
      </c>
      <c r="C52" s="71" t="s">
        <v>158</v>
      </c>
      <c r="D52" s="85">
        <v>44618</v>
      </c>
      <c r="E52" s="87">
        <v>1.48863636363636</v>
      </c>
      <c r="F52" s="72">
        <f t="shared" si="2"/>
        <v>481351.24030534475</v>
      </c>
      <c r="G52" s="73">
        <f t="shared" si="3"/>
        <v>316344.79816793971</v>
      </c>
      <c r="H52" s="74">
        <f t="shared" si="4"/>
        <v>142799.12488549651</v>
      </c>
      <c r="I52" s="75">
        <f t="shared" si="5"/>
        <v>173545.6732824432</v>
      </c>
      <c r="J52" s="76">
        <f t="shared" si="6"/>
        <v>162563.68977099279</v>
      </c>
      <c r="K52" s="77">
        <f t="shared" si="7"/>
        <v>2442.7523664122195</v>
      </c>
      <c r="L52" s="77">
        <f t="shared" si="8"/>
        <v>0</v>
      </c>
      <c r="M52" s="72">
        <f t="shared" si="9"/>
        <v>716556.96000000008</v>
      </c>
      <c r="N52" s="78">
        <v>470922.37</v>
      </c>
      <c r="O52" s="76">
        <v>212575.96999999994</v>
      </c>
      <c r="P52" s="79">
        <f t="shared" si="10"/>
        <v>258346.40000000005</v>
      </c>
      <c r="Q52" s="76">
        <v>241998.22000000003</v>
      </c>
      <c r="R52" s="80">
        <v>3636.3699999999994</v>
      </c>
      <c r="S52" s="80">
        <v>0</v>
      </c>
      <c r="T52" s="81">
        <v>716556.95999999985</v>
      </c>
      <c r="U52" s="82">
        <f t="shared" si="11"/>
        <v>0</v>
      </c>
    </row>
    <row r="53" spans="2:21">
      <c r="B53" s="70" t="s">
        <v>159</v>
      </c>
      <c r="C53" s="71" t="s">
        <v>160</v>
      </c>
      <c r="D53" s="85">
        <v>44629</v>
      </c>
      <c r="E53" s="87">
        <v>0.54583333333333295</v>
      </c>
      <c r="F53" s="72">
        <f t="shared" si="2"/>
        <v>593958.44885496225</v>
      </c>
      <c r="G53" s="73">
        <f t="shared" si="3"/>
        <v>416657.18473282486</v>
      </c>
      <c r="H53" s="74">
        <f t="shared" si="4"/>
        <v>142308.65954198482</v>
      </c>
      <c r="I53" s="75">
        <f t="shared" si="5"/>
        <v>274348.52519084001</v>
      </c>
      <c r="J53" s="76">
        <f t="shared" si="6"/>
        <v>170435.34045801542</v>
      </c>
      <c r="K53" s="77">
        <f t="shared" si="7"/>
        <v>4681.2274809160335</v>
      </c>
      <c r="L53" s="77">
        <f t="shared" si="8"/>
        <v>2184.6961832061097</v>
      </c>
      <c r="M53" s="72">
        <f t="shared" ref="M53" si="12">SUM(O53:S53)</f>
        <v>324202.32</v>
      </c>
      <c r="N53" s="78">
        <v>227425.38000000006</v>
      </c>
      <c r="O53" s="76">
        <v>77676.81</v>
      </c>
      <c r="P53" s="79">
        <f t="shared" ref="P53" si="13">N53-O53</f>
        <v>149748.57000000007</v>
      </c>
      <c r="Q53" s="76">
        <v>93029.290000000008</v>
      </c>
      <c r="R53" s="80">
        <v>2555.17</v>
      </c>
      <c r="S53" s="80">
        <v>1192.4800000000007</v>
      </c>
      <c r="T53" s="81">
        <v>324202.31999999989</v>
      </c>
      <c r="U53" s="82">
        <f t="shared" ref="U53" si="14">T53-M53</f>
        <v>0</v>
      </c>
    </row>
    <row r="54" spans="2:21">
      <c r="B54" s="70" t="s">
        <v>161</v>
      </c>
      <c r="C54" s="71" t="s">
        <v>162</v>
      </c>
      <c r="D54" s="85">
        <v>44632</v>
      </c>
      <c r="E54" s="87">
        <v>4.9621212121212101E-2</v>
      </c>
      <c r="F54" s="72">
        <f t="shared" ref="F54:F114" si="15">IFERROR(M54/$E54,0)</f>
        <v>1425425.8809160308</v>
      </c>
      <c r="G54" s="73">
        <f t="shared" ref="G54:G114" si="16">IFERROR(N54/$E54,0)</f>
        <v>852166.80916030542</v>
      </c>
      <c r="H54" s="74">
        <f t="shared" ref="H54:H114" si="17">IFERROR(O54/$E54,0)</f>
        <v>141579.572519084</v>
      </c>
      <c r="I54" s="75">
        <f t="shared" ref="I54:I114" si="18">IFERROR(P54/$E54,0)</f>
        <v>710587.23664122145</v>
      </c>
      <c r="J54" s="76">
        <f t="shared" ref="J54:J114" si="19">IFERROR(Q54/$E54,0)</f>
        <v>558737.05648854969</v>
      </c>
      <c r="K54" s="77">
        <f t="shared" ref="K54:K114" si="20">IFERROR(R54/$E54,0)</f>
        <v>14522.015267175579</v>
      </c>
      <c r="L54" s="77">
        <f t="shared" ref="L54:L114" si="21">IFERROR(S54/$E54,0)</f>
        <v>0</v>
      </c>
      <c r="M54" s="72">
        <f t="shared" ref="M54:M114" si="22">SUM(O54:S54)</f>
        <v>70731.359999999986</v>
      </c>
      <c r="N54" s="78">
        <v>42285.549999999988</v>
      </c>
      <c r="O54" s="76">
        <v>7025.3499999999985</v>
      </c>
      <c r="P54" s="79">
        <f t="shared" ref="P54:P114" si="23">N54-O54</f>
        <v>35260.19999999999</v>
      </c>
      <c r="Q54" s="76">
        <v>27725.209999999992</v>
      </c>
      <c r="R54" s="80">
        <v>720.6</v>
      </c>
      <c r="S54" s="80">
        <v>0</v>
      </c>
      <c r="T54" s="81">
        <v>70731.360000000001</v>
      </c>
      <c r="U54" s="82">
        <f t="shared" ref="U54:U114" si="24">T54-M54</f>
        <v>0</v>
      </c>
    </row>
    <row r="55" spans="2:21">
      <c r="B55" s="70" t="s">
        <v>163</v>
      </c>
      <c r="C55" s="71" t="s">
        <v>164</v>
      </c>
      <c r="D55" s="85">
        <v>44673</v>
      </c>
      <c r="E55" s="87">
        <v>0.79393939393939394</v>
      </c>
      <c r="F55" s="72">
        <f t="shared" si="15"/>
        <v>1516684.5469465649</v>
      </c>
      <c r="G55" s="73">
        <f t="shared" si="16"/>
        <v>902017.49083969486</v>
      </c>
      <c r="H55" s="74">
        <f t="shared" si="17"/>
        <v>171333.77061068703</v>
      </c>
      <c r="I55" s="75">
        <f t="shared" si="18"/>
        <v>730683.72022900789</v>
      </c>
      <c r="J55" s="76">
        <f t="shared" si="19"/>
        <v>604733.11145038158</v>
      </c>
      <c r="K55" s="77">
        <f t="shared" si="20"/>
        <v>9933.9446564885475</v>
      </c>
      <c r="L55" s="77">
        <f t="shared" si="21"/>
        <v>0</v>
      </c>
      <c r="M55" s="72">
        <f t="shared" si="22"/>
        <v>1204155.6100000001</v>
      </c>
      <c r="N55" s="78">
        <v>716147.2200000002</v>
      </c>
      <c r="O55" s="76">
        <v>136028.63</v>
      </c>
      <c r="P55" s="79">
        <f t="shared" si="23"/>
        <v>580118.5900000002</v>
      </c>
      <c r="Q55" s="76">
        <v>480121.43999999994</v>
      </c>
      <c r="R55" s="80">
        <v>7886.9499999999989</v>
      </c>
      <c r="S55" s="80">
        <v>0</v>
      </c>
      <c r="T55" s="81">
        <v>1204155.6100000006</v>
      </c>
      <c r="U55" s="82">
        <f t="shared" si="24"/>
        <v>0</v>
      </c>
    </row>
    <row r="56" spans="2:21">
      <c r="B56" s="70" t="s">
        <v>165</v>
      </c>
      <c r="C56" s="71" t="s">
        <v>166</v>
      </c>
      <c r="D56" s="85">
        <v>44555</v>
      </c>
      <c r="E56" s="87">
        <v>1.83598484848485</v>
      </c>
      <c r="F56" s="72">
        <f t="shared" si="15"/>
        <v>873664.78068908548</v>
      </c>
      <c r="G56" s="73">
        <f t="shared" si="16"/>
        <v>807183.19719414006</v>
      </c>
      <c r="H56" s="74">
        <f t="shared" si="17"/>
        <v>164534.40247575811</v>
      </c>
      <c r="I56" s="75">
        <f t="shared" si="18"/>
        <v>642648.79471838195</v>
      </c>
      <c r="J56" s="76">
        <f t="shared" si="19"/>
        <v>57763.374293377332</v>
      </c>
      <c r="K56" s="77">
        <f t="shared" si="20"/>
        <v>8718.2092015679737</v>
      </c>
      <c r="L56" s="77">
        <f t="shared" si="21"/>
        <v>0</v>
      </c>
      <c r="M56" s="72">
        <f t="shared" si="22"/>
        <v>1604035.3000000003</v>
      </c>
      <c r="N56" s="78">
        <v>1481976.12</v>
      </c>
      <c r="O56" s="76">
        <v>302082.6700000001</v>
      </c>
      <c r="P56" s="79">
        <f t="shared" si="23"/>
        <v>1179893.45</v>
      </c>
      <c r="Q56" s="76">
        <v>106052.68000000007</v>
      </c>
      <c r="R56" s="80">
        <v>16006.500000000002</v>
      </c>
      <c r="S56" s="80">
        <v>0</v>
      </c>
      <c r="T56" s="81">
        <v>1604035.3</v>
      </c>
      <c r="U56" s="82">
        <f t="shared" si="24"/>
        <v>0</v>
      </c>
    </row>
    <row r="57" spans="2:21">
      <c r="B57" s="70" t="s">
        <v>167</v>
      </c>
      <c r="C57" s="71" t="s">
        <v>168</v>
      </c>
      <c r="D57" s="85">
        <v>44555</v>
      </c>
      <c r="E57" s="87">
        <v>0.89318181818181797</v>
      </c>
      <c r="F57" s="72">
        <f t="shared" si="15"/>
        <v>5448491.3720101789</v>
      </c>
      <c r="G57" s="73">
        <f t="shared" si="16"/>
        <v>4414974.3531806627</v>
      </c>
      <c r="H57" s="74">
        <f t="shared" si="17"/>
        <v>966244.78066157817</v>
      </c>
      <c r="I57" s="75">
        <f t="shared" si="18"/>
        <v>3448729.5725190844</v>
      </c>
      <c r="J57" s="76">
        <f t="shared" si="19"/>
        <v>1001089.6793893131</v>
      </c>
      <c r="K57" s="77">
        <f t="shared" si="20"/>
        <v>32427.339440203556</v>
      </c>
      <c r="L57" s="77">
        <f t="shared" si="21"/>
        <v>0</v>
      </c>
      <c r="M57" s="72">
        <f t="shared" si="22"/>
        <v>4866493.43</v>
      </c>
      <c r="N57" s="78">
        <v>3943374.8200000003</v>
      </c>
      <c r="O57" s="76">
        <v>863032.27000000025</v>
      </c>
      <c r="P57" s="79">
        <f t="shared" si="23"/>
        <v>3080342.55</v>
      </c>
      <c r="Q57" s="76">
        <v>894155.09999999986</v>
      </c>
      <c r="R57" s="80">
        <v>28963.509999999987</v>
      </c>
      <c r="S57" s="80">
        <v>0</v>
      </c>
      <c r="T57" s="81">
        <v>4866493.43</v>
      </c>
      <c r="U57" s="82">
        <f t="shared" si="24"/>
        <v>0</v>
      </c>
    </row>
    <row r="58" spans="2:21">
      <c r="B58" s="70" t="s">
        <v>169</v>
      </c>
      <c r="C58" s="71" t="s">
        <v>170</v>
      </c>
      <c r="D58" s="85">
        <v>44706</v>
      </c>
      <c r="E58" s="87">
        <v>1.83598484848485</v>
      </c>
      <c r="F58" s="72">
        <f t="shared" si="15"/>
        <v>2154191.9494945314</v>
      </c>
      <c r="G58" s="73">
        <f t="shared" si="16"/>
        <v>1616536.2434495552</v>
      </c>
      <c r="H58" s="74">
        <f t="shared" si="17"/>
        <v>196269.17961625737</v>
      </c>
      <c r="I58" s="75">
        <f t="shared" si="18"/>
        <v>1420267.0638332977</v>
      </c>
      <c r="J58" s="76">
        <f t="shared" si="19"/>
        <v>526487.89601815515</v>
      </c>
      <c r="K58" s="77">
        <f t="shared" si="20"/>
        <v>11167.810026820705</v>
      </c>
      <c r="L58" s="77">
        <f t="shared" si="21"/>
        <v>0</v>
      </c>
      <c r="M58" s="72">
        <f t="shared" si="22"/>
        <v>3955063.7800000007</v>
      </c>
      <c r="N58" s="78">
        <v>2967936.0500000003</v>
      </c>
      <c r="O58" s="76">
        <v>360347.24000000011</v>
      </c>
      <c r="P58" s="79">
        <f t="shared" si="23"/>
        <v>2607588.81</v>
      </c>
      <c r="Q58" s="76">
        <v>966623.8</v>
      </c>
      <c r="R58" s="80">
        <v>20503.93</v>
      </c>
      <c r="S58" s="80">
        <v>0</v>
      </c>
      <c r="T58" s="81">
        <v>3955063.78</v>
      </c>
      <c r="U58" s="82">
        <f t="shared" si="24"/>
        <v>0</v>
      </c>
    </row>
    <row r="59" spans="2:21">
      <c r="B59" s="70" t="s">
        <v>171</v>
      </c>
      <c r="C59" s="71" t="s">
        <v>172</v>
      </c>
      <c r="D59" s="85">
        <v>44713</v>
      </c>
      <c r="E59" s="87">
        <v>0.79393939393939394</v>
      </c>
      <c r="F59" s="72">
        <f t="shared" si="15"/>
        <v>518874.64351145038</v>
      </c>
      <c r="G59" s="73">
        <f t="shared" si="16"/>
        <v>333095.04732824437</v>
      </c>
      <c r="H59" s="74">
        <f t="shared" si="17"/>
        <v>64495.729007633592</v>
      </c>
      <c r="I59" s="75">
        <f t="shared" si="18"/>
        <v>268599.31832061079</v>
      </c>
      <c r="J59" s="76">
        <f t="shared" si="19"/>
        <v>167993.1881679389</v>
      </c>
      <c r="K59" s="77">
        <f t="shared" si="20"/>
        <v>218.74465648854959</v>
      </c>
      <c r="L59" s="77">
        <f t="shared" si="21"/>
        <v>17567.663358778627</v>
      </c>
      <c r="M59" s="72">
        <f t="shared" si="22"/>
        <v>411955.02</v>
      </c>
      <c r="N59" s="78">
        <v>264457.28000000009</v>
      </c>
      <c r="O59" s="76">
        <v>51205.700000000004</v>
      </c>
      <c r="P59" s="79">
        <f t="shared" si="23"/>
        <v>213251.58000000007</v>
      </c>
      <c r="Q59" s="76">
        <v>133376.40999999997</v>
      </c>
      <c r="R59" s="80">
        <v>173.67</v>
      </c>
      <c r="S59" s="80">
        <v>13947.660000000002</v>
      </c>
      <c r="T59" s="81">
        <v>411955.01999999996</v>
      </c>
      <c r="U59" s="82">
        <f t="shared" si="24"/>
        <v>0</v>
      </c>
    </row>
    <row r="60" spans="2:21">
      <c r="B60" s="70" t="s">
        <v>173</v>
      </c>
      <c r="C60" s="71" t="s">
        <v>174</v>
      </c>
      <c r="D60" s="85">
        <v>44720</v>
      </c>
      <c r="E60" s="87">
        <v>1.5878787878787901</v>
      </c>
      <c r="F60" s="72">
        <f t="shared" si="15"/>
        <v>879301.81488549511</v>
      </c>
      <c r="G60" s="73">
        <f t="shared" si="16"/>
        <v>551027.53225190775</v>
      </c>
      <c r="H60" s="74">
        <f t="shared" si="17"/>
        <v>164294.97137404559</v>
      </c>
      <c r="I60" s="75">
        <f t="shared" si="18"/>
        <v>386732.56087786215</v>
      </c>
      <c r="J60" s="76">
        <f t="shared" si="19"/>
        <v>316372.97748091567</v>
      </c>
      <c r="K60" s="77">
        <f t="shared" si="20"/>
        <v>10850.916412213726</v>
      </c>
      <c r="L60" s="77">
        <f t="shared" si="21"/>
        <v>1050.3887404580132</v>
      </c>
      <c r="M60" s="72">
        <f t="shared" si="22"/>
        <v>1396224.7000000002</v>
      </c>
      <c r="N60" s="78">
        <v>874964.93000000017</v>
      </c>
      <c r="O60" s="76">
        <v>260880.50000000003</v>
      </c>
      <c r="P60" s="79">
        <f t="shared" si="23"/>
        <v>614084.43000000017</v>
      </c>
      <c r="Q60" s="76">
        <v>502361.94000000012</v>
      </c>
      <c r="R60" s="80">
        <v>17229.940000000002</v>
      </c>
      <c r="S60" s="80">
        <v>1667.8899999999992</v>
      </c>
      <c r="T60" s="81">
        <v>1396224.7000000004</v>
      </c>
      <c r="U60" s="82">
        <f t="shared" si="24"/>
        <v>0</v>
      </c>
    </row>
    <row r="61" spans="2:21">
      <c r="B61" s="70" t="s">
        <v>175</v>
      </c>
      <c r="C61" s="71" t="s">
        <v>176</v>
      </c>
      <c r="D61" s="85">
        <v>44709</v>
      </c>
      <c r="E61" s="87">
        <v>0.69469696969697003</v>
      </c>
      <c r="F61" s="72">
        <f t="shared" si="15"/>
        <v>1035113.7997818968</v>
      </c>
      <c r="G61" s="73">
        <f t="shared" si="16"/>
        <v>663281.07088331459</v>
      </c>
      <c r="H61" s="74">
        <f t="shared" si="17"/>
        <v>217122.84143947644</v>
      </c>
      <c r="I61" s="75">
        <f t="shared" si="18"/>
        <v>446158.22944383806</v>
      </c>
      <c r="J61" s="76">
        <f t="shared" si="19"/>
        <v>351821.73042529979</v>
      </c>
      <c r="K61" s="77">
        <f t="shared" si="20"/>
        <v>11419.497055616137</v>
      </c>
      <c r="L61" s="77">
        <f t="shared" si="21"/>
        <v>8591.5014176662971</v>
      </c>
      <c r="M61" s="72">
        <f t="shared" si="22"/>
        <v>719090.41999999981</v>
      </c>
      <c r="N61" s="78">
        <v>460779.3499999998</v>
      </c>
      <c r="O61" s="76">
        <v>150834.57999999999</v>
      </c>
      <c r="P61" s="79">
        <f t="shared" si="23"/>
        <v>309944.76999999979</v>
      </c>
      <c r="Q61" s="76">
        <v>244409.49000000005</v>
      </c>
      <c r="R61" s="80">
        <v>7933.090000000002</v>
      </c>
      <c r="S61" s="80">
        <v>5968.4899999999989</v>
      </c>
      <c r="T61" s="81">
        <v>719090.42000000051</v>
      </c>
      <c r="U61" s="82">
        <f t="shared" si="24"/>
        <v>0</v>
      </c>
    </row>
    <row r="62" spans="2:21">
      <c r="B62" s="70" t="s">
        <v>177</v>
      </c>
      <c r="C62" s="71" t="s">
        <v>178</v>
      </c>
      <c r="D62" s="85">
        <v>44709</v>
      </c>
      <c r="E62" s="87">
        <v>1.53825757575758</v>
      </c>
      <c r="F62" s="72">
        <f t="shared" si="15"/>
        <v>1151625.1555774405</v>
      </c>
      <c r="G62" s="73">
        <f t="shared" si="16"/>
        <v>886890.48017729365</v>
      </c>
      <c r="H62" s="74">
        <f t="shared" si="17"/>
        <v>188122.27195272048</v>
      </c>
      <c r="I62" s="75">
        <f t="shared" si="18"/>
        <v>698768.20822457317</v>
      </c>
      <c r="J62" s="76">
        <f t="shared" si="19"/>
        <v>263643.88928835187</v>
      </c>
      <c r="K62" s="77">
        <f t="shared" si="20"/>
        <v>1069.5607978330429</v>
      </c>
      <c r="L62" s="77">
        <f t="shared" si="21"/>
        <v>21.225313962078246</v>
      </c>
      <c r="M62" s="72">
        <f t="shared" si="22"/>
        <v>1771496.1199999996</v>
      </c>
      <c r="N62" s="78">
        <v>1364265.9999999998</v>
      </c>
      <c r="O62" s="76">
        <v>289380.51</v>
      </c>
      <c r="P62" s="79">
        <f t="shared" si="23"/>
        <v>1074885.4899999998</v>
      </c>
      <c r="Q62" s="76">
        <v>405552.20999999996</v>
      </c>
      <c r="R62" s="80">
        <v>1645.2599999999998</v>
      </c>
      <c r="S62" s="80">
        <v>32.65</v>
      </c>
      <c r="T62" s="81">
        <v>1771496.1199999999</v>
      </c>
      <c r="U62" s="82">
        <f t="shared" si="24"/>
        <v>0</v>
      </c>
    </row>
    <row r="63" spans="2:21">
      <c r="B63" s="70" t="s">
        <v>179</v>
      </c>
      <c r="C63" s="71" t="s">
        <v>180</v>
      </c>
      <c r="D63" s="85">
        <v>44739</v>
      </c>
      <c r="E63" s="87">
        <v>0</v>
      </c>
      <c r="F63" s="72">
        <f t="shared" si="15"/>
        <v>0</v>
      </c>
      <c r="G63" s="73">
        <f t="shared" si="16"/>
        <v>0</v>
      </c>
      <c r="H63" s="74">
        <f t="shared" si="17"/>
        <v>0</v>
      </c>
      <c r="I63" s="75">
        <f t="shared" si="18"/>
        <v>0</v>
      </c>
      <c r="J63" s="76">
        <f t="shared" si="19"/>
        <v>0</v>
      </c>
      <c r="K63" s="77">
        <f t="shared" si="20"/>
        <v>0</v>
      </c>
      <c r="L63" s="77">
        <f t="shared" si="21"/>
        <v>0</v>
      </c>
      <c r="M63" s="72">
        <f t="shared" si="22"/>
        <v>7224.1100000000006</v>
      </c>
      <c r="N63" s="78">
        <v>0</v>
      </c>
      <c r="O63" s="76">
        <v>0</v>
      </c>
      <c r="P63" s="79">
        <f t="shared" si="23"/>
        <v>0</v>
      </c>
      <c r="Q63" s="76">
        <v>0</v>
      </c>
      <c r="R63" s="80">
        <v>0</v>
      </c>
      <c r="S63" s="80">
        <v>7224.1100000000006</v>
      </c>
      <c r="T63" s="81">
        <v>7224.1100000000006</v>
      </c>
      <c r="U63" s="82">
        <f t="shared" si="24"/>
        <v>0</v>
      </c>
    </row>
    <row r="64" spans="2:21">
      <c r="B64" s="70" t="s">
        <v>181</v>
      </c>
      <c r="C64" s="71" t="s">
        <v>182</v>
      </c>
      <c r="D64" s="85">
        <v>44758</v>
      </c>
      <c r="E64" s="87">
        <v>1.0420454545454501</v>
      </c>
      <c r="F64" s="72">
        <f t="shared" si="15"/>
        <v>239524.45539803818</v>
      </c>
      <c r="G64" s="73">
        <f t="shared" si="16"/>
        <v>140970.95223555135</v>
      </c>
      <c r="H64" s="74">
        <f t="shared" si="17"/>
        <v>6488.1142857143241</v>
      </c>
      <c r="I64" s="75">
        <f t="shared" si="18"/>
        <v>134482.83794983703</v>
      </c>
      <c r="J64" s="76">
        <f t="shared" si="19"/>
        <v>69860.388222464884</v>
      </c>
      <c r="K64" s="77">
        <f t="shared" si="20"/>
        <v>2295.0822246455923</v>
      </c>
      <c r="L64" s="77">
        <f t="shared" si="21"/>
        <v>26398.032715376343</v>
      </c>
      <c r="M64" s="72">
        <f t="shared" si="22"/>
        <v>249595.37000000008</v>
      </c>
      <c r="N64" s="78">
        <v>146898.14000000004</v>
      </c>
      <c r="O64" s="76">
        <v>6760.9100000000108</v>
      </c>
      <c r="P64" s="79">
        <f t="shared" si="23"/>
        <v>140137.23000000004</v>
      </c>
      <c r="Q64" s="76">
        <v>72797.700000000026</v>
      </c>
      <c r="R64" s="80">
        <v>2391.579999999999</v>
      </c>
      <c r="S64" s="80">
        <v>27507.95</v>
      </c>
      <c r="T64" s="81">
        <v>249595.37000000008</v>
      </c>
      <c r="U64" s="82">
        <f t="shared" si="24"/>
        <v>0</v>
      </c>
    </row>
    <row r="65" spans="2:21">
      <c r="B65" s="70" t="s">
        <v>183</v>
      </c>
      <c r="C65" s="71" t="s">
        <v>184</v>
      </c>
      <c r="D65" s="85">
        <v>44763</v>
      </c>
      <c r="E65" s="87">
        <v>0.74431818181818199</v>
      </c>
      <c r="F65" s="72">
        <f t="shared" si="15"/>
        <v>525844.59114503814</v>
      </c>
      <c r="G65" s="73">
        <f t="shared" si="16"/>
        <v>323836.30534351134</v>
      </c>
      <c r="H65" s="74">
        <f t="shared" si="17"/>
        <v>198237.97618320608</v>
      </c>
      <c r="I65" s="75">
        <f t="shared" si="18"/>
        <v>125598.32916030526</v>
      </c>
      <c r="J65" s="76">
        <f t="shared" si="19"/>
        <v>166852.9038167939</v>
      </c>
      <c r="K65" s="77">
        <f t="shared" si="20"/>
        <v>2593.1517557251896</v>
      </c>
      <c r="L65" s="77">
        <f t="shared" si="21"/>
        <v>32562.23022900763</v>
      </c>
      <c r="M65" s="72">
        <f t="shared" si="22"/>
        <v>391395.69000000006</v>
      </c>
      <c r="N65" s="78">
        <v>241037.24999999997</v>
      </c>
      <c r="O65" s="76">
        <v>147552.13</v>
      </c>
      <c r="P65" s="79">
        <f t="shared" si="23"/>
        <v>93485.119999999966</v>
      </c>
      <c r="Q65" s="76">
        <v>124191.65000000004</v>
      </c>
      <c r="R65" s="80">
        <v>1930.1299999999997</v>
      </c>
      <c r="S65" s="80">
        <v>24236.660000000003</v>
      </c>
      <c r="T65" s="81">
        <v>391395.69000000012</v>
      </c>
      <c r="U65" s="82">
        <f t="shared" si="24"/>
        <v>0</v>
      </c>
    </row>
    <row r="66" spans="2:21">
      <c r="B66" s="70" t="s">
        <v>185</v>
      </c>
      <c r="C66" s="71" t="s">
        <v>186</v>
      </c>
      <c r="D66" s="85">
        <v>44764</v>
      </c>
      <c r="E66" s="87">
        <v>2.8780303030302998</v>
      </c>
      <c r="F66" s="72">
        <f t="shared" si="15"/>
        <v>494216.48844432802</v>
      </c>
      <c r="G66" s="73">
        <f t="shared" si="16"/>
        <v>332608.67301921605</v>
      </c>
      <c r="H66" s="74">
        <f t="shared" si="17"/>
        <v>135921.94619636764</v>
      </c>
      <c r="I66" s="75">
        <f t="shared" si="18"/>
        <v>196686.72682284837</v>
      </c>
      <c r="J66" s="76">
        <f t="shared" si="19"/>
        <v>148940.72850750215</v>
      </c>
      <c r="K66" s="77">
        <f t="shared" si="20"/>
        <v>8306.146038431174</v>
      </c>
      <c r="L66" s="77">
        <f t="shared" si="21"/>
        <v>4360.9408791787355</v>
      </c>
      <c r="M66" s="72">
        <f t="shared" si="22"/>
        <v>1422370.03</v>
      </c>
      <c r="N66" s="78">
        <v>957257.8400000002</v>
      </c>
      <c r="O66" s="76">
        <v>391187.48000000004</v>
      </c>
      <c r="P66" s="79">
        <f t="shared" si="23"/>
        <v>566070.3600000001</v>
      </c>
      <c r="Q66" s="76">
        <v>428655.93</v>
      </c>
      <c r="R66" s="80">
        <v>23905.339999999997</v>
      </c>
      <c r="S66" s="80">
        <v>12550.919999999998</v>
      </c>
      <c r="T66" s="81">
        <v>1422370.0300000005</v>
      </c>
      <c r="U66" s="82">
        <f t="shared" si="24"/>
        <v>0</v>
      </c>
    </row>
    <row r="67" spans="2:21">
      <c r="B67" s="70" t="s">
        <v>187</v>
      </c>
      <c r="C67" s="71" t="s">
        <v>188</v>
      </c>
      <c r="D67" s="85">
        <v>44765</v>
      </c>
      <c r="E67" s="87">
        <v>0.148863636363636</v>
      </c>
      <c r="F67" s="72">
        <f t="shared" si="15"/>
        <v>290294.53435114573</v>
      </c>
      <c r="G67" s="73">
        <f t="shared" si="16"/>
        <v>165734.09465648895</v>
      </c>
      <c r="H67" s="74">
        <f t="shared" si="17"/>
        <v>0</v>
      </c>
      <c r="I67" s="75">
        <f t="shared" si="18"/>
        <v>165734.09465648895</v>
      </c>
      <c r="J67" s="76">
        <f t="shared" si="19"/>
        <v>124560.43969465682</v>
      </c>
      <c r="K67" s="77">
        <f t="shared" si="20"/>
        <v>0</v>
      </c>
      <c r="L67" s="77">
        <f t="shared" si="21"/>
        <v>0</v>
      </c>
      <c r="M67" s="72">
        <f t="shared" si="22"/>
        <v>43214.3</v>
      </c>
      <c r="N67" s="78">
        <v>24671.78</v>
      </c>
      <c r="O67" s="76">
        <v>0</v>
      </c>
      <c r="P67" s="79">
        <f t="shared" si="23"/>
        <v>24671.78</v>
      </c>
      <c r="Q67" s="76">
        <v>18542.520000000004</v>
      </c>
      <c r="R67" s="80">
        <v>0</v>
      </c>
      <c r="S67" s="80">
        <v>0</v>
      </c>
      <c r="T67" s="81">
        <v>43214.3</v>
      </c>
      <c r="U67" s="82">
        <f t="shared" si="24"/>
        <v>0</v>
      </c>
    </row>
    <row r="68" spans="2:21">
      <c r="B68" s="70" t="s">
        <v>189</v>
      </c>
      <c r="C68" s="71" t="s">
        <v>190</v>
      </c>
      <c r="D68" s="85">
        <v>44785</v>
      </c>
      <c r="E68" s="87">
        <v>1.98484848484848</v>
      </c>
      <c r="F68" s="72">
        <f t="shared" si="15"/>
        <v>1056011.9152671783</v>
      </c>
      <c r="G68" s="73">
        <f t="shared" si="16"/>
        <v>615502.92091603216</v>
      </c>
      <c r="H68" s="74">
        <f t="shared" si="17"/>
        <v>180385.50687022944</v>
      </c>
      <c r="I68" s="75">
        <f t="shared" si="18"/>
        <v>435117.41404580278</v>
      </c>
      <c r="J68" s="76">
        <f t="shared" si="19"/>
        <v>376174.80916030629</v>
      </c>
      <c r="K68" s="77">
        <f t="shared" si="20"/>
        <v>8849.703206106893</v>
      </c>
      <c r="L68" s="77">
        <f t="shared" si="21"/>
        <v>55484.481984732956</v>
      </c>
      <c r="M68" s="72">
        <f t="shared" si="22"/>
        <v>2096023.6500000004</v>
      </c>
      <c r="N68" s="78">
        <v>1221680.0400000003</v>
      </c>
      <c r="O68" s="76">
        <v>358037.89999999997</v>
      </c>
      <c r="P68" s="79">
        <f t="shared" si="23"/>
        <v>863642.14000000036</v>
      </c>
      <c r="Q68" s="76">
        <v>746650</v>
      </c>
      <c r="R68" s="80">
        <v>17565.320000000003</v>
      </c>
      <c r="S68" s="80">
        <v>110128.29</v>
      </c>
      <c r="T68" s="81">
        <v>2096023.6500000006</v>
      </c>
      <c r="U68" s="82">
        <f t="shared" si="24"/>
        <v>0</v>
      </c>
    </row>
    <row r="69" spans="2:21">
      <c r="B69" s="70" t="s">
        <v>191</v>
      </c>
      <c r="C69" s="71" t="s">
        <v>192</v>
      </c>
      <c r="D69" s="85">
        <v>44793</v>
      </c>
      <c r="E69" s="87">
        <v>4.9621212121212101E-2</v>
      </c>
      <c r="F69" s="72">
        <f t="shared" si="15"/>
        <v>331196.06106870237</v>
      </c>
      <c r="G69" s="73">
        <f t="shared" si="16"/>
        <v>207028.59847328253</v>
      </c>
      <c r="H69" s="74">
        <f t="shared" si="17"/>
        <v>0</v>
      </c>
      <c r="I69" s="75">
        <f t="shared" si="18"/>
        <v>207028.59847328253</v>
      </c>
      <c r="J69" s="76">
        <f t="shared" si="19"/>
        <v>123336.56793893133</v>
      </c>
      <c r="K69" s="77">
        <f t="shared" si="20"/>
        <v>247.27328244274818</v>
      </c>
      <c r="L69" s="77">
        <f t="shared" si="21"/>
        <v>583.62137404580187</v>
      </c>
      <c r="M69" s="72">
        <f t="shared" si="22"/>
        <v>16434.349999999999</v>
      </c>
      <c r="N69" s="78">
        <v>10273.01</v>
      </c>
      <c r="O69" s="76">
        <v>0</v>
      </c>
      <c r="P69" s="79">
        <f t="shared" si="23"/>
        <v>10273.01</v>
      </c>
      <c r="Q69" s="76">
        <v>6120.1099999999988</v>
      </c>
      <c r="R69" s="80">
        <v>12.27</v>
      </c>
      <c r="S69" s="80">
        <v>28.960000000000004</v>
      </c>
      <c r="T69" s="81">
        <v>16434.350000000002</v>
      </c>
      <c r="U69" s="82">
        <f t="shared" si="24"/>
        <v>0</v>
      </c>
    </row>
    <row r="70" spans="2:21">
      <c r="B70" s="70" t="s">
        <v>193</v>
      </c>
      <c r="C70" s="71" t="s">
        <v>194</v>
      </c>
      <c r="D70" s="85">
        <v>44799</v>
      </c>
      <c r="E70" s="87">
        <v>4.9621212121212101E-2</v>
      </c>
      <c r="F70" s="72">
        <f t="shared" si="15"/>
        <v>856710.22900763399</v>
      </c>
      <c r="G70" s="73">
        <f t="shared" si="16"/>
        <v>310295.72519083985</v>
      </c>
      <c r="H70" s="74">
        <f t="shared" si="17"/>
        <v>176470.49770992374</v>
      </c>
      <c r="I70" s="75">
        <f t="shared" si="18"/>
        <v>133825.2274809161</v>
      </c>
      <c r="J70" s="76">
        <f t="shared" si="19"/>
        <v>72673.960305343542</v>
      </c>
      <c r="K70" s="77">
        <f t="shared" si="20"/>
        <v>822.02748091603087</v>
      </c>
      <c r="L70" s="77">
        <f t="shared" si="21"/>
        <v>472918.51603053446</v>
      </c>
      <c r="M70" s="72">
        <f t="shared" si="22"/>
        <v>42511</v>
      </c>
      <c r="N70" s="78">
        <v>15397.250000000002</v>
      </c>
      <c r="O70" s="76">
        <v>8756.68</v>
      </c>
      <c r="P70" s="79">
        <f t="shared" si="23"/>
        <v>6640.5700000000015</v>
      </c>
      <c r="Q70" s="76">
        <v>3606.17</v>
      </c>
      <c r="R70" s="80">
        <v>40.79</v>
      </c>
      <c r="S70" s="80">
        <v>23466.789999999997</v>
      </c>
      <c r="T70" s="81">
        <v>42511.000000000007</v>
      </c>
      <c r="U70" s="82">
        <f t="shared" si="24"/>
        <v>0</v>
      </c>
    </row>
    <row r="71" spans="2:21">
      <c r="B71" s="70" t="s">
        <v>195</v>
      </c>
      <c r="C71" s="71" t="s">
        <v>196</v>
      </c>
      <c r="D71" s="85">
        <v>44800</v>
      </c>
      <c r="E71" s="87">
        <v>1.53825757575758</v>
      </c>
      <c r="F71" s="72">
        <f t="shared" si="15"/>
        <v>1156850.4898300874</v>
      </c>
      <c r="G71" s="73">
        <f t="shared" si="16"/>
        <v>877777.69554296695</v>
      </c>
      <c r="H71" s="74">
        <f t="shared" si="17"/>
        <v>184563.5181482388</v>
      </c>
      <c r="I71" s="75">
        <f t="shared" si="18"/>
        <v>693214.17739472806</v>
      </c>
      <c r="J71" s="76">
        <f t="shared" si="19"/>
        <v>265553.67998029967</v>
      </c>
      <c r="K71" s="77">
        <f t="shared" si="20"/>
        <v>13519.11430682094</v>
      </c>
      <c r="L71" s="77">
        <f t="shared" si="21"/>
        <v>0</v>
      </c>
      <c r="M71" s="72">
        <f t="shared" si="22"/>
        <v>1779534.0299999993</v>
      </c>
      <c r="N71" s="78">
        <v>1350248.1899999995</v>
      </c>
      <c r="O71" s="76">
        <v>283906.22999999992</v>
      </c>
      <c r="P71" s="79">
        <f t="shared" si="23"/>
        <v>1066341.9599999995</v>
      </c>
      <c r="Q71" s="76">
        <v>408489.95999999996</v>
      </c>
      <c r="R71" s="80">
        <v>20795.879999999997</v>
      </c>
      <c r="S71" s="80">
        <v>0</v>
      </c>
      <c r="T71" s="81">
        <v>1779534.0299999996</v>
      </c>
      <c r="U71" s="82">
        <f t="shared" si="24"/>
        <v>0</v>
      </c>
    </row>
    <row r="72" spans="2:21">
      <c r="B72" s="70" t="s">
        <v>197</v>
      </c>
      <c r="C72" s="71" t="s">
        <v>198</v>
      </c>
      <c r="D72" s="85">
        <v>44828</v>
      </c>
      <c r="E72" s="87">
        <v>2.8284090909090902</v>
      </c>
      <c r="F72" s="72">
        <f t="shared" si="15"/>
        <v>775610.23511450365</v>
      </c>
      <c r="G72" s="73">
        <f t="shared" si="16"/>
        <v>568531.34688629978</v>
      </c>
      <c r="H72" s="74">
        <f t="shared" si="17"/>
        <v>137351.02225793494</v>
      </c>
      <c r="I72" s="75">
        <f t="shared" si="18"/>
        <v>431180.32462836476</v>
      </c>
      <c r="J72" s="76">
        <f t="shared" si="19"/>
        <v>183424.55540377664</v>
      </c>
      <c r="K72" s="77">
        <f t="shared" si="20"/>
        <v>4661.0372036962644</v>
      </c>
      <c r="L72" s="77">
        <f t="shared" si="21"/>
        <v>18993.295620731216</v>
      </c>
      <c r="M72" s="72">
        <f t="shared" si="22"/>
        <v>2193743.0399999991</v>
      </c>
      <c r="N72" s="78">
        <v>1608039.2299999997</v>
      </c>
      <c r="O72" s="76">
        <v>388484.88</v>
      </c>
      <c r="P72" s="79">
        <f t="shared" si="23"/>
        <v>1219554.3499999996</v>
      </c>
      <c r="Q72" s="76">
        <v>518799.67999999993</v>
      </c>
      <c r="R72" s="80">
        <v>13183.32</v>
      </c>
      <c r="S72" s="80">
        <v>53720.809999999983</v>
      </c>
      <c r="T72" s="81">
        <v>2193743.0399999996</v>
      </c>
      <c r="U72" s="82">
        <f t="shared" si="24"/>
        <v>0</v>
      </c>
    </row>
    <row r="73" spans="2:21">
      <c r="B73" s="70" t="s">
        <v>199</v>
      </c>
      <c r="C73" s="71" t="s">
        <v>200</v>
      </c>
      <c r="D73" s="85">
        <v>44832</v>
      </c>
      <c r="E73" s="87">
        <v>1.6375</v>
      </c>
      <c r="F73" s="72">
        <f t="shared" si="15"/>
        <v>1059483.438167939</v>
      </c>
      <c r="G73" s="73">
        <f t="shared" si="16"/>
        <v>649696.86717557255</v>
      </c>
      <c r="H73" s="74">
        <f t="shared" si="17"/>
        <v>181806.558778626</v>
      </c>
      <c r="I73" s="75">
        <f t="shared" si="18"/>
        <v>467890.30839694664</v>
      </c>
      <c r="J73" s="76">
        <f t="shared" si="19"/>
        <v>353226.03358778625</v>
      </c>
      <c r="K73" s="77">
        <f t="shared" si="20"/>
        <v>26192.500763358781</v>
      </c>
      <c r="L73" s="77">
        <f t="shared" si="21"/>
        <v>30368.036641221384</v>
      </c>
      <c r="M73" s="72">
        <f t="shared" si="22"/>
        <v>1734904.13</v>
      </c>
      <c r="N73" s="78">
        <v>1063878.6200000001</v>
      </c>
      <c r="O73" s="76">
        <v>297708.24000000005</v>
      </c>
      <c r="P73" s="79">
        <f t="shared" si="23"/>
        <v>766170.38000000012</v>
      </c>
      <c r="Q73" s="76">
        <v>578407.63</v>
      </c>
      <c r="R73" s="80">
        <v>42890.22</v>
      </c>
      <c r="S73" s="80">
        <v>49727.660000000018</v>
      </c>
      <c r="T73" s="81">
        <v>1734904.1300000001</v>
      </c>
      <c r="U73" s="82">
        <f t="shared" si="24"/>
        <v>0</v>
      </c>
    </row>
    <row r="74" spans="2:21">
      <c r="B74" s="70" t="s">
        <v>201</v>
      </c>
      <c r="C74" s="71" t="s">
        <v>202</v>
      </c>
      <c r="D74" s="85">
        <v>44834</v>
      </c>
      <c r="E74" s="87">
        <v>1.7863636363636399</v>
      </c>
      <c r="F74" s="72">
        <f t="shared" si="15"/>
        <v>1561445.185750633</v>
      </c>
      <c r="G74" s="73">
        <f t="shared" si="16"/>
        <v>1118173.936895672</v>
      </c>
      <c r="H74" s="74">
        <f t="shared" si="17"/>
        <v>266877.82391857466</v>
      </c>
      <c r="I74" s="75">
        <f t="shared" si="18"/>
        <v>851296.11297709728</v>
      </c>
      <c r="J74" s="76">
        <f t="shared" si="19"/>
        <v>399256.14554707299</v>
      </c>
      <c r="K74" s="77">
        <f t="shared" si="20"/>
        <v>4502.8290076335797</v>
      </c>
      <c r="L74" s="77">
        <f t="shared" si="21"/>
        <v>39512.274300254387</v>
      </c>
      <c r="M74" s="72">
        <f t="shared" si="22"/>
        <v>2789308.9</v>
      </c>
      <c r="N74" s="78">
        <v>1997465.2599999998</v>
      </c>
      <c r="O74" s="76">
        <v>476740.8400000002</v>
      </c>
      <c r="P74" s="79">
        <f t="shared" si="23"/>
        <v>1520724.4199999995</v>
      </c>
      <c r="Q74" s="76">
        <v>713216.66</v>
      </c>
      <c r="R74" s="80">
        <v>8043.6900000000014</v>
      </c>
      <c r="S74" s="80">
        <v>70583.290000000023</v>
      </c>
      <c r="T74" s="81">
        <v>2789308.9000000004</v>
      </c>
      <c r="U74" s="82">
        <f t="shared" si="24"/>
        <v>0</v>
      </c>
    </row>
    <row r="75" spans="2:21">
      <c r="B75" s="70" t="s">
        <v>203</v>
      </c>
      <c r="C75" s="71" t="s">
        <v>204</v>
      </c>
      <c r="D75" s="85">
        <v>44847</v>
      </c>
      <c r="E75" s="87">
        <v>0.84356060606060601</v>
      </c>
      <c r="F75" s="72">
        <f t="shared" si="15"/>
        <v>805286.18230803777</v>
      </c>
      <c r="G75" s="73">
        <f t="shared" si="16"/>
        <v>539826.70211046259</v>
      </c>
      <c r="H75" s="74">
        <f t="shared" si="17"/>
        <v>211259.88899865292</v>
      </c>
      <c r="I75" s="75">
        <f t="shared" si="18"/>
        <v>328566.81311180966</v>
      </c>
      <c r="J75" s="76">
        <f t="shared" si="19"/>
        <v>216024.31252806465</v>
      </c>
      <c r="K75" s="77">
        <f t="shared" si="20"/>
        <v>6826.0892680736406</v>
      </c>
      <c r="L75" s="77">
        <f t="shared" si="21"/>
        <v>42609.07840143692</v>
      </c>
      <c r="M75" s="72">
        <f t="shared" si="22"/>
        <v>679307.7</v>
      </c>
      <c r="N75" s="78">
        <v>455376.54000000004</v>
      </c>
      <c r="O75" s="76">
        <v>178210.52000000002</v>
      </c>
      <c r="P75" s="79">
        <f t="shared" si="23"/>
        <v>277166.02</v>
      </c>
      <c r="Q75" s="76">
        <v>182229.59999999998</v>
      </c>
      <c r="R75" s="80">
        <v>5758.2199999999984</v>
      </c>
      <c r="S75" s="80">
        <v>35943.340000000004</v>
      </c>
      <c r="T75" s="81">
        <v>679307.7000000003</v>
      </c>
      <c r="U75" s="82">
        <f t="shared" si="24"/>
        <v>0</v>
      </c>
    </row>
    <row r="76" spans="2:21">
      <c r="B76" s="70" t="s">
        <v>205</v>
      </c>
      <c r="C76" s="71" t="s">
        <v>206</v>
      </c>
      <c r="D76" s="85">
        <v>44835</v>
      </c>
      <c r="E76" s="87">
        <v>0.79393939393939394</v>
      </c>
      <c r="F76" s="72">
        <f t="shared" si="15"/>
        <v>1071511.0706106869</v>
      </c>
      <c r="G76" s="73">
        <f t="shared" si="16"/>
        <v>629600.66450381663</v>
      </c>
      <c r="H76" s="74">
        <f t="shared" si="17"/>
        <v>116975.04961832064</v>
      </c>
      <c r="I76" s="75">
        <f t="shared" si="18"/>
        <v>512625.61488549603</v>
      </c>
      <c r="J76" s="76">
        <f t="shared" si="19"/>
        <v>312613.40839694656</v>
      </c>
      <c r="K76" s="77">
        <f t="shared" si="20"/>
        <v>7183.7347328244305</v>
      </c>
      <c r="L76" s="77">
        <f t="shared" si="21"/>
        <v>122113.26297709919</v>
      </c>
      <c r="M76" s="72">
        <f t="shared" si="22"/>
        <v>850714.84999999986</v>
      </c>
      <c r="N76" s="78">
        <v>499864.7699999999</v>
      </c>
      <c r="O76" s="76">
        <v>92871.10000000002</v>
      </c>
      <c r="P76" s="79">
        <f t="shared" si="23"/>
        <v>406993.66999999987</v>
      </c>
      <c r="Q76" s="76">
        <v>248196.09999999998</v>
      </c>
      <c r="R76" s="80">
        <v>5703.4500000000025</v>
      </c>
      <c r="S76" s="80">
        <v>96950.52999999997</v>
      </c>
      <c r="T76" s="81">
        <v>850714.84999999963</v>
      </c>
      <c r="U76" s="82">
        <f t="shared" si="24"/>
        <v>0</v>
      </c>
    </row>
    <row r="77" spans="2:21">
      <c r="B77" s="70" t="s">
        <v>207</v>
      </c>
      <c r="C77" s="71" t="s">
        <v>208</v>
      </c>
      <c r="D77" s="85">
        <v>44835</v>
      </c>
      <c r="E77" s="87">
        <v>0.64507575757575797</v>
      </c>
      <c r="F77" s="72">
        <f t="shared" si="15"/>
        <v>2034476.5937756884</v>
      </c>
      <c r="G77" s="73">
        <f t="shared" si="16"/>
        <v>1305451.4452143267</v>
      </c>
      <c r="H77" s="74">
        <f t="shared" si="17"/>
        <v>332182.14679976483</v>
      </c>
      <c r="I77" s="75">
        <f t="shared" si="18"/>
        <v>973269.29841456201</v>
      </c>
      <c r="J77" s="76">
        <f t="shared" si="19"/>
        <v>614362.8176159712</v>
      </c>
      <c r="K77" s="77">
        <f t="shared" si="20"/>
        <v>18470.140692894878</v>
      </c>
      <c r="L77" s="77">
        <f t="shared" si="21"/>
        <v>96192.190252495566</v>
      </c>
      <c r="M77" s="72">
        <f t="shared" si="22"/>
        <v>1312391.5299999998</v>
      </c>
      <c r="N77" s="78">
        <v>842115.08</v>
      </c>
      <c r="O77" s="76">
        <v>214282.64999999994</v>
      </c>
      <c r="P77" s="79">
        <f t="shared" si="23"/>
        <v>627832.43000000005</v>
      </c>
      <c r="Q77" s="76">
        <v>396310.55999999988</v>
      </c>
      <c r="R77" s="80">
        <v>11914.64</v>
      </c>
      <c r="S77" s="80">
        <v>62051.250000000022</v>
      </c>
      <c r="T77" s="81">
        <v>1312391.5300000003</v>
      </c>
      <c r="U77" s="82">
        <f t="shared" si="24"/>
        <v>0</v>
      </c>
    </row>
    <row r="78" spans="2:21">
      <c r="B78" s="70" t="s">
        <v>209</v>
      </c>
      <c r="C78" s="71" t="s">
        <v>210</v>
      </c>
      <c r="D78" s="85">
        <v>44856</v>
      </c>
      <c r="E78" s="87">
        <v>1.7863636363636399</v>
      </c>
      <c r="F78" s="72">
        <f t="shared" si="15"/>
        <v>1201167.5430025421</v>
      </c>
      <c r="G78" s="73">
        <f t="shared" si="16"/>
        <v>827188.52977099095</v>
      </c>
      <c r="H78" s="74">
        <f t="shared" si="17"/>
        <v>166313.22646310402</v>
      </c>
      <c r="I78" s="75">
        <f t="shared" si="18"/>
        <v>660875.30330788693</v>
      </c>
      <c r="J78" s="76">
        <f t="shared" si="19"/>
        <v>274946.01323155151</v>
      </c>
      <c r="K78" s="77">
        <f t="shared" si="20"/>
        <v>2825.4549618320552</v>
      </c>
      <c r="L78" s="77">
        <f t="shared" si="21"/>
        <v>96207.545038167722</v>
      </c>
      <c r="M78" s="72">
        <f t="shared" si="22"/>
        <v>2145722.02</v>
      </c>
      <c r="N78" s="78">
        <v>1477659.5100000005</v>
      </c>
      <c r="O78" s="76">
        <v>297095.90000000002</v>
      </c>
      <c r="P78" s="79">
        <f t="shared" si="23"/>
        <v>1180563.6100000003</v>
      </c>
      <c r="Q78" s="76">
        <v>491153.55999999982</v>
      </c>
      <c r="R78" s="80">
        <v>5047.29</v>
      </c>
      <c r="S78" s="80">
        <v>171861.65999999995</v>
      </c>
      <c r="T78" s="81">
        <v>2145722.02</v>
      </c>
      <c r="U78" s="82">
        <f t="shared" si="24"/>
        <v>0</v>
      </c>
    </row>
    <row r="79" spans="2:21">
      <c r="B79" s="70" t="s">
        <v>211</v>
      </c>
      <c r="C79" s="71" t="s">
        <v>212</v>
      </c>
      <c r="D79" s="85">
        <v>44883</v>
      </c>
      <c r="E79" s="87">
        <v>0.34734848484848502</v>
      </c>
      <c r="F79" s="72">
        <f t="shared" si="15"/>
        <v>519002.23511450342</v>
      </c>
      <c r="G79" s="73">
        <f t="shared" si="16"/>
        <v>374968.93086150463</v>
      </c>
      <c r="H79" s="74">
        <f t="shared" si="17"/>
        <v>177293.50403489632</v>
      </c>
      <c r="I79" s="75">
        <f t="shared" si="18"/>
        <v>197675.42682660831</v>
      </c>
      <c r="J79" s="76">
        <f t="shared" si="19"/>
        <v>127474.71755725179</v>
      </c>
      <c r="K79" s="77">
        <f t="shared" si="20"/>
        <v>1004.4379498364226</v>
      </c>
      <c r="L79" s="77">
        <f t="shared" si="21"/>
        <v>15554.148745910565</v>
      </c>
      <c r="M79" s="72">
        <f t="shared" si="22"/>
        <v>180274.63999999996</v>
      </c>
      <c r="N79" s="78">
        <v>130244.88999999997</v>
      </c>
      <c r="O79" s="76">
        <v>61582.630000000005</v>
      </c>
      <c r="P79" s="79">
        <f t="shared" si="23"/>
        <v>68662.259999999966</v>
      </c>
      <c r="Q79" s="76">
        <v>44278.14999999998</v>
      </c>
      <c r="R79" s="80">
        <v>348.89</v>
      </c>
      <c r="S79" s="80">
        <v>5402.7099999999982</v>
      </c>
      <c r="T79" s="81">
        <v>180274.64000000004</v>
      </c>
      <c r="U79" s="82">
        <f t="shared" si="24"/>
        <v>0</v>
      </c>
    </row>
    <row r="80" spans="2:21">
      <c r="B80" s="70" t="s">
        <v>213</v>
      </c>
      <c r="C80" s="71" t="s">
        <v>214</v>
      </c>
      <c r="D80" s="85">
        <v>44863</v>
      </c>
      <c r="E80" s="87">
        <v>2.4314393939393901</v>
      </c>
      <c r="F80" s="72">
        <f t="shared" si="15"/>
        <v>1145830.694749963</v>
      </c>
      <c r="G80" s="73">
        <f t="shared" si="16"/>
        <v>743251.73578439141</v>
      </c>
      <c r="H80" s="74">
        <f t="shared" si="17"/>
        <v>190923.56205016389</v>
      </c>
      <c r="I80" s="75">
        <f t="shared" si="18"/>
        <v>552328.17373422743</v>
      </c>
      <c r="J80" s="76">
        <f t="shared" si="19"/>
        <v>341883.31902165501</v>
      </c>
      <c r="K80" s="77">
        <f t="shared" si="20"/>
        <v>13677.659448512255</v>
      </c>
      <c r="L80" s="77">
        <f t="shared" si="21"/>
        <v>47017.98049540435</v>
      </c>
      <c r="M80" s="72">
        <f t="shared" si="22"/>
        <v>2786017.89</v>
      </c>
      <c r="N80" s="78">
        <v>1807171.5500000003</v>
      </c>
      <c r="O80" s="76">
        <v>464219.07</v>
      </c>
      <c r="P80" s="79">
        <f t="shared" si="23"/>
        <v>1342952.4800000002</v>
      </c>
      <c r="Q80" s="76">
        <v>831268.57000000007</v>
      </c>
      <c r="R80" s="80">
        <v>33256.400000000009</v>
      </c>
      <c r="S80" s="80">
        <v>114321.37000000002</v>
      </c>
      <c r="T80" s="81">
        <v>2786017.8899999992</v>
      </c>
      <c r="U80" s="82">
        <f t="shared" si="24"/>
        <v>0</v>
      </c>
    </row>
    <row r="81" spans="2:21">
      <c r="B81" s="70" t="s">
        <v>215</v>
      </c>
      <c r="C81" s="71" t="s">
        <v>216</v>
      </c>
      <c r="D81" s="85">
        <v>44895</v>
      </c>
      <c r="E81" s="87">
        <v>0.69469696969697003</v>
      </c>
      <c r="F81" s="72">
        <f t="shared" si="15"/>
        <v>842747.82464558282</v>
      </c>
      <c r="G81" s="73">
        <f t="shared" si="16"/>
        <v>505369.18298800394</v>
      </c>
      <c r="H81" s="74">
        <f t="shared" si="17"/>
        <v>265918.76466739347</v>
      </c>
      <c r="I81" s="75">
        <f t="shared" si="18"/>
        <v>239450.41832061045</v>
      </c>
      <c r="J81" s="76">
        <f t="shared" si="19"/>
        <v>317855.32344601949</v>
      </c>
      <c r="K81" s="77">
        <f t="shared" si="20"/>
        <v>8287.2536532170088</v>
      </c>
      <c r="L81" s="77">
        <f t="shared" si="21"/>
        <v>11236.064558342412</v>
      </c>
      <c r="M81" s="72">
        <f t="shared" si="22"/>
        <v>585454.35999999987</v>
      </c>
      <c r="N81" s="78">
        <v>351078.43999999989</v>
      </c>
      <c r="O81" s="76">
        <v>184732.95999999996</v>
      </c>
      <c r="P81" s="79">
        <f t="shared" si="23"/>
        <v>166345.47999999992</v>
      </c>
      <c r="Q81" s="76">
        <v>220813.13</v>
      </c>
      <c r="R81" s="80">
        <v>5757.13</v>
      </c>
      <c r="S81" s="80">
        <v>7805.659999999998</v>
      </c>
      <c r="T81" s="81">
        <v>585454.36000000022</v>
      </c>
      <c r="U81" s="82">
        <f t="shared" si="24"/>
        <v>0</v>
      </c>
    </row>
    <row r="82" spans="2:21">
      <c r="B82" s="70" t="s">
        <v>217</v>
      </c>
      <c r="C82" s="71" t="s">
        <v>218</v>
      </c>
      <c r="D82" s="85">
        <v>44863</v>
      </c>
      <c r="E82" s="87">
        <v>3.0765151515151499</v>
      </c>
      <c r="F82" s="72">
        <f t="shared" si="15"/>
        <v>1452782.7232701308</v>
      </c>
      <c r="G82" s="73">
        <f t="shared" si="16"/>
        <v>1005415.1524255112</v>
      </c>
      <c r="H82" s="74">
        <f t="shared" si="17"/>
        <v>215946.34750061567</v>
      </c>
      <c r="I82" s="75">
        <f t="shared" si="18"/>
        <v>789468.8049248954</v>
      </c>
      <c r="J82" s="76">
        <f t="shared" si="19"/>
        <v>342909.02142329485</v>
      </c>
      <c r="K82" s="77">
        <f t="shared" si="20"/>
        <v>19273.96651071166</v>
      </c>
      <c r="L82" s="77">
        <f t="shared" si="21"/>
        <v>85184.58291061323</v>
      </c>
      <c r="M82" s="72">
        <f t="shared" si="22"/>
        <v>4469508.0599999987</v>
      </c>
      <c r="N82" s="78">
        <v>3093174.9499999988</v>
      </c>
      <c r="O82" s="76">
        <v>664362.20999999985</v>
      </c>
      <c r="P82" s="79">
        <f t="shared" si="23"/>
        <v>2428812.7399999988</v>
      </c>
      <c r="Q82" s="76">
        <v>1054964.7999999998</v>
      </c>
      <c r="R82" s="80">
        <v>59296.650000000009</v>
      </c>
      <c r="S82" s="80">
        <v>262071.66000000012</v>
      </c>
      <c r="T82" s="81">
        <v>4469508.0599999996</v>
      </c>
      <c r="U82" s="82">
        <f t="shared" si="24"/>
        <v>0</v>
      </c>
    </row>
    <row r="83" spans="2:21">
      <c r="B83" s="70" t="s">
        <v>219</v>
      </c>
      <c r="C83" s="71" t="s">
        <v>220</v>
      </c>
      <c r="D83" s="85">
        <v>44898</v>
      </c>
      <c r="E83" s="87">
        <v>2.6795454545454498</v>
      </c>
      <c r="F83" s="72">
        <f t="shared" si="15"/>
        <v>731951.68108566711</v>
      </c>
      <c r="G83" s="73">
        <f t="shared" si="16"/>
        <v>505754.82408821129</v>
      </c>
      <c r="H83" s="74">
        <f t="shared" si="17"/>
        <v>213889.25089058565</v>
      </c>
      <c r="I83" s="75">
        <f t="shared" si="18"/>
        <v>291865.57319762558</v>
      </c>
      <c r="J83" s="76">
        <f t="shared" si="19"/>
        <v>205338.89024597156</v>
      </c>
      <c r="K83" s="77">
        <f t="shared" si="20"/>
        <v>5784.0668363019622</v>
      </c>
      <c r="L83" s="77">
        <f t="shared" si="21"/>
        <v>15073.899915182388</v>
      </c>
      <c r="M83" s="72">
        <f t="shared" si="22"/>
        <v>1961297.8</v>
      </c>
      <c r="N83" s="78">
        <v>1355193.04</v>
      </c>
      <c r="O83" s="76">
        <v>573125.97000000009</v>
      </c>
      <c r="P83" s="79">
        <f t="shared" si="23"/>
        <v>782067.07</v>
      </c>
      <c r="Q83" s="76">
        <v>550214.89000000013</v>
      </c>
      <c r="R83" s="80">
        <v>15498.670000000004</v>
      </c>
      <c r="S83" s="80">
        <v>40391.200000000012</v>
      </c>
      <c r="T83" s="81">
        <v>1961297.7999999996</v>
      </c>
      <c r="U83" s="82">
        <f t="shared" si="24"/>
        <v>0</v>
      </c>
    </row>
    <row r="84" spans="2:21">
      <c r="B84" s="70" t="s">
        <v>221</v>
      </c>
      <c r="C84" s="71" t="s">
        <v>222</v>
      </c>
      <c r="D84" s="85">
        <v>44884</v>
      </c>
      <c r="E84" s="87">
        <v>1.98484848484848</v>
      </c>
      <c r="F84" s="72">
        <f t="shared" si="15"/>
        <v>1007886.3829007661</v>
      </c>
      <c r="G84" s="73">
        <f t="shared" si="16"/>
        <v>694844.00977099419</v>
      </c>
      <c r="H84" s="74">
        <f t="shared" si="17"/>
        <v>193052.21175572567</v>
      </c>
      <c r="I84" s="75">
        <f t="shared" si="18"/>
        <v>501791.79801526858</v>
      </c>
      <c r="J84" s="76">
        <f t="shared" si="19"/>
        <v>173427.98335877905</v>
      </c>
      <c r="K84" s="77">
        <f t="shared" si="20"/>
        <v>8225.2071755725374</v>
      </c>
      <c r="L84" s="77">
        <f t="shared" si="21"/>
        <v>131389.18259542019</v>
      </c>
      <c r="M84" s="72">
        <f t="shared" si="22"/>
        <v>2000501.7600000005</v>
      </c>
      <c r="N84" s="78">
        <v>1379160.0800000003</v>
      </c>
      <c r="O84" s="76">
        <v>383179.39</v>
      </c>
      <c r="P84" s="79">
        <f t="shared" si="23"/>
        <v>995980.69000000029</v>
      </c>
      <c r="Q84" s="76">
        <v>344228.27</v>
      </c>
      <c r="R84" s="80">
        <v>16325.789999999997</v>
      </c>
      <c r="S84" s="80">
        <v>260787.62000000002</v>
      </c>
      <c r="T84" s="81">
        <v>2000501.7600000009</v>
      </c>
      <c r="U84" s="82">
        <f t="shared" si="24"/>
        <v>0</v>
      </c>
    </row>
    <row r="85" spans="2:21">
      <c r="B85" s="70" t="s">
        <v>223</v>
      </c>
      <c r="C85" s="71" t="s">
        <v>224</v>
      </c>
      <c r="D85" s="85">
        <v>44908</v>
      </c>
      <c r="E85" s="87">
        <v>0.84356060606060601</v>
      </c>
      <c r="F85" s="72">
        <f t="shared" si="15"/>
        <v>1207699.2603502474</v>
      </c>
      <c r="G85" s="73">
        <f t="shared" si="16"/>
        <v>847813.15635383944</v>
      </c>
      <c r="H85" s="74">
        <f t="shared" si="17"/>
        <v>106327.40475976649</v>
      </c>
      <c r="I85" s="75">
        <f t="shared" si="18"/>
        <v>741485.75159407302</v>
      </c>
      <c r="J85" s="76">
        <f t="shared" si="19"/>
        <v>354651.73201616533</v>
      </c>
      <c r="K85" s="77">
        <f t="shared" si="20"/>
        <v>5234.3719802424794</v>
      </c>
      <c r="L85" s="77">
        <f t="shared" si="21"/>
        <v>0</v>
      </c>
      <c r="M85" s="72">
        <f t="shared" si="22"/>
        <v>1018767.5200000003</v>
      </c>
      <c r="N85" s="78">
        <v>715181.78000000014</v>
      </c>
      <c r="O85" s="76">
        <v>89693.609999999986</v>
      </c>
      <c r="P85" s="79">
        <f t="shared" si="23"/>
        <v>625488.17000000016</v>
      </c>
      <c r="Q85" s="76">
        <v>299170.23000000004</v>
      </c>
      <c r="R85" s="80">
        <v>4415.51</v>
      </c>
      <c r="S85" s="80">
        <v>0</v>
      </c>
      <c r="T85" s="81">
        <v>1018767.52</v>
      </c>
      <c r="U85" s="82">
        <f t="shared" si="24"/>
        <v>0</v>
      </c>
    </row>
    <row r="86" spans="2:21">
      <c r="B86" s="70" t="s">
        <v>225</v>
      </c>
      <c r="C86" s="71" t="s">
        <v>226</v>
      </c>
      <c r="D86" s="85">
        <v>44912</v>
      </c>
      <c r="E86" s="87">
        <v>1.7863636363636399</v>
      </c>
      <c r="F86" s="72">
        <f t="shared" si="15"/>
        <v>618968.31501272158</v>
      </c>
      <c r="G86" s="73">
        <f t="shared" si="16"/>
        <v>473053.55572518992</v>
      </c>
      <c r="H86" s="74">
        <f t="shared" si="17"/>
        <v>205738.82748091564</v>
      </c>
      <c r="I86" s="75">
        <f t="shared" si="18"/>
        <v>267314.72824427427</v>
      </c>
      <c r="J86" s="76">
        <f t="shared" si="19"/>
        <v>143710.02340966894</v>
      </c>
      <c r="K86" s="77">
        <f t="shared" si="20"/>
        <v>1223.345547073789</v>
      </c>
      <c r="L86" s="77">
        <f t="shared" si="21"/>
        <v>981.3903307888022</v>
      </c>
      <c r="M86" s="72">
        <f t="shared" si="22"/>
        <v>1105702.4900000002</v>
      </c>
      <c r="N86" s="78">
        <v>845045.67</v>
      </c>
      <c r="O86" s="76">
        <v>367524.36000000004</v>
      </c>
      <c r="P86" s="79">
        <f t="shared" si="23"/>
        <v>477521.31</v>
      </c>
      <c r="Q86" s="76">
        <v>256718.36000000002</v>
      </c>
      <c r="R86" s="80">
        <v>2185.34</v>
      </c>
      <c r="S86" s="80">
        <v>1753.1200000000001</v>
      </c>
      <c r="T86" s="81">
        <v>1105702.4899999995</v>
      </c>
      <c r="U86" s="82">
        <f t="shared" si="24"/>
        <v>0</v>
      </c>
    </row>
    <row r="87" spans="2:21">
      <c r="B87" s="70" t="s">
        <v>227</v>
      </c>
      <c r="C87" s="71" t="s">
        <v>228</v>
      </c>
      <c r="D87" s="85">
        <v>44912</v>
      </c>
      <c r="E87" s="87">
        <v>0.34734848484848502</v>
      </c>
      <c r="F87" s="72">
        <f t="shared" si="15"/>
        <v>541502.80828789505</v>
      </c>
      <c r="G87" s="73">
        <f t="shared" si="16"/>
        <v>394034.25081788417</v>
      </c>
      <c r="H87" s="74">
        <f t="shared" si="17"/>
        <v>153523.42769901844</v>
      </c>
      <c r="I87" s="75">
        <f t="shared" si="18"/>
        <v>240510.82311886569</v>
      </c>
      <c r="J87" s="76">
        <f t="shared" si="19"/>
        <v>144327.41810250815</v>
      </c>
      <c r="K87" s="77">
        <f t="shared" si="20"/>
        <v>3141.1393675027252</v>
      </c>
      <c r="L87" s="77">
        <f t="shared" si="21"/>
        <v>0</v>
      </c>
      <c r="M87" s="72">
        <f t="shared" si="22"/>
        <v>188090.18</v>
      </c>
      <c r="N87" s="78">
        <v>136867.19999999998</v>
      </c>
      <c r="O87" s="76">
        <v>53326.13</v>
      </c>
      <c r="P87" s="79">
        <f t="shared" si="23"/>
        <v>83541.069999999978</v>
      </c>
      <c r="Q87" s="76">
        <v>50131.910000000018</v>
      </c>
      <c r="R87" s="80">
        <v>1091.0700000000002</v>
      </c>
      <c r="S87" s="80">
        <v>0</v>
      </c>
      <c r="T87" s="81">
        <v>188090.18000000002</v>
      </c>
      <c r="U87" s="82">
        <f t="shared" si="24"/>
        <v>0</v>
      </c>
    </row>
    <row r="88" spans="2:21">
      <c r="B88" s="70" t="s">
        <v>229</v>
      </c>
      <c r="C88" s="71" t="s">
        <v>230</v>
      </c>
      <c r="D88" s="85">
        <v>44898</v>
      </c>
      <c r="E88" s="87">
        <v>2.0840909090909099</v>
      </c>
      <c r="F88" s="72">
        <f t="shared" si="15"/>
        <v>585898.83707742614</v>
      </c>
      <c r="G88" s="73">
        <f t="shared" si="16"/>
        <v>432056.96357688098</v>
      </c>
      <c r="H88" s="74">
        <f t="shared" si="17"/>
        <v>203554.60894220276</v>
      </c>
      <c r="I88" s="75">
        <f t="shared" si="18"/>
        <v>228502.35463467819</v>
      </c>
      <c r="J88" s="76">
        <f t="shared" si="19"/>
        <v>133485.48702290072</v>
      </c>
      <c r="K88" s="77">
        <f t="shared" si="20"/>
        <v>5923.8346782988001</v>
      </c>
      <c r="L88" s="77">
        <f t="shared" si="21"/>
        <v>14432.551799345689</v>
      </c>
      <c r="M88" s="72">
        <f t="shared" si="22"/>
        <v>1221066.44</v>
      </c>
      <c r="N88" s="78">
        <v>900445.99</v>
      </c>
      <c r="O88" s="76">
        <v>424226.31</v>
      </c>
      <c r="P88" s="79">
        <f t="shared" si="23"/>
        <v>476219.68</v>
      </c>
      <c r="Q88" s="76">
        <v>278195.89</v>
      </c>
      <c r="R88" s="80">
        <v>12345.810000000003</v>
      </c>
      <c r="S88" s="80">
        <v>30078.750000000004</v>
      </c>
      <c r="T88" s="81">
        <v>1221066.4400000002</v>
      </c>
      <c r="U88" s="82">
        <f t="shared" si="24"/>
        <v>0</v>
      </c>
    </row>
    <row r="89" spans="2:21">
      <c r="B89" s="70" t="s">
        <v>231</v>
      </c>
      <c r="C89" s="71" t="s">
        <v>232</v>
      </c>
      <c r="D89" s="85">
        <v>44912</v>
      </c>
      <c r="E89" s="87">
        <v>1.68712121212121</v>
      </c>
      <c r="F89" s="72">
        <f t="shared" si="15"/>
        <v>1056084.759766503</v>
      </c>
      <c r="G89" s="73">
        <f t="shared" si="16"/>
        <v>795045.353210598</v>
      </c>
      <c r="H89" s="74">
        <f t="shared" si="17"/>
        <v>200608.73964975326</v>
      </c>
      <c r="I89" s="75">
        <f t="shared" si="18"/>
        <v>594436.61356084468</v>
      </c>
      <c r="J89" s="76">
        <f t="shared" si="19"/>
        <v>157528.04723843755</v>
      </c>
      <c r="K89" s="77">
        <f t="shared" si="20"/>
        <v>4835.1594072743665</v>
      </c>
      <c r="L89" s="77">
        <f t="shared" si="21"/>
        <v>98676.199910193202</v>
      </c>
      <c r="M89" s="72">
        <f t="shared" si="22"/>
        <v>1781742.9999999995</v>
      </c>
      <c r="N89" s="78">
        <v>1341337.8799999997</v>
      </c>
      <c r="O89" s="76">
        <v>338451.25999999995</v>
      </c>
      <c r="P89" s="79">
        <f t="shared" si="23"/>
        <v>1002886.6199999996</v>
      </c>
      <c r="Q89" s="76">
        <v>265768.90999999997</v>
      </c>
      <c r="R89" s="80">
        <v>8157.5</v>
      </c>
      <c r="S89" s="80">
        <v>166478.71</v>
      </c>
      <c r="T89" s="81">
        <v>1781743.0000000005</v>
      </c>
      <c r="U89" s="82">
        <f t="shared" si="24"/>
        <v>0</v>
      </c>
    </row>
    <row r="90" spans="2:21">
      <c r="B90" s="70" t="s">
        <v>233</v>
      </c>
      <c r="C90" s="71" t="s">
        <v>234</v>
      </c>
      <c r="D90" s="85">
        <v>44938</v>
      </c>
      <c r="E90" s="87">
        <v>4.9621212121212101E-2</v>
      </c>
      <c r="F90" s="72">
        <f t="shared" si="15"/>
        <v>198686.19847328254</v>
      </c>
      <c r="G90" s="73">
        <f t="shared" si="16"/>
        <v>170988.16488549628</v>
      </c>
      <c r="H90" s="74">
        <f t="shared" si="17"/>
        <v>84420.95267175576</v>
      </c>
      <c r="I90" s="75">
        <f t="shared" si="18"/>
        <v>86567.212213740524</v>
      </c>
      <c r="J90" s="76">
        <f t="shared" si="19"/>
        <v>27196.433587786269</v>
      </c>
      <c r="K90" s="77">
        <f t="shared" si="20"/>
        <v>0</v>
      </c>
      <c r="L90" s="77">
        <f t="shared" si="21"/>
        <v>501.60000000000019</v>
      </c>
      <c r="M90" s="72">
        <f t="shared" si="22"/>
        <v>9859.0500000000011</v>
      </c>
      <c r="N90" s="78">
        <v>8484.6400000000012</v>
      </c>
      <c r="O90" s="76">
        <v>4189.07</v>
      </c>
      <c r="P90" s="79">
        <f t="shared" si="23"/>
        <v>4295.5700000000015</v>
      </c>
      <c r="Q90" s="76">
        <v>1349.52</v>
      </c>
      <c r="R90" s="80">
        <v>0</v>
      </c>
      <c r="S90" s="80">
        <v>24.89</v>
      </c>
      <c r="T90" s="81">
        <v>9859.0500000000011</v>
      </c>
      <c r="U90" s="82">
        <f t="shared" si="24"/>
        <v>0</v>
      </c>
    </row>
    <row r="91" spans="2:21">
      <c r="B91" s="70" t="s">
        <v>235</v>
      </c>
      <c r="C91" s="71" t="s">
        <v>236</v>
      </c>
      <c r="D91" s="85">
        <v>44548</v>
      </c>
      <c r="E91" s="87">
        <v>1.14128787878788</v>
      </c>
      <c r="F91" s="72">
        <f t="shared" si="15"/>
        <v>1282793.2699634903</v>
      </c>
      <c r="G91" s="73">
        <f t="shared" si="16"/>
        <v>1173604.9553269157</v>
      </c>
      <c r="H91" s="74">
        <f t="shared" si="17"/>
        <v>237892.17869233305</v>
      </c>
      <c r="I91" s="75">
        <f t="shared" si="18"/>
        <v>935712.77663458278</v>
      </c>
      <c r="J91" s="76">
        <f t="shared" si="19"/>
        <v>101120.77955526042</v>
      </c>
      <c r="K91" s="77">
        <f t="shared" si="20"/>
        <v>8067.5350813142977</v>
      </c>
      <c r="L91" s="77">
        <f t="shared" si="21"/>
        <v>0</v>
      </c>
      <c r="M91" s="72">
        <f t="shared" si="22"/>
        <v>1464036.4100000001</v>
      </c>
      <c r="N91" s="78">
        <v>1339421.1100000003</v>
      </c>
      <c r="O91" s="76">
        <v>271503.46000000008</v>
      </c>
      <c r="P91" s="79">
        <f t="shared" si="23"/>
        <v>1067917.6500000004</v>
      </c>
      <c r="Q91" s="76">
        <v>115407.91999999998</v>
      </c>
      <c r="R91" s="80">
        <v>9207.380000000001</v>
      </c>
      <c r="S91" s="80">
        <v>0</v>
      </c>
      <c r="T91" s="81">
        <v>1464036.4100000004</v>
      </c>
      <c r="U91" s="82">
        <f t="shared" si="24"/>
        <v>0</v>
      </c>
    </row>
    <row r="92" spans="2:21">
      <c r="B92" s="70" t="s">
        <v>235</v>
      </c>
      <c r="C92" s="71" t="s">
        <v>236</v>
      </c>
      <c r="D92" s="85">
        <v>44548</v>
      </c>
      <c r="E92" s="87">
        <v>1.14128787878788</v>
      </c>
      <c r="F92" s="72">
        <f t="shared" si="15"/>
        <v>1282793.2699634903</v>
      </c>
      <c r="G92" s="73">
        <f t="shared" si="16"/>
        <v>1173604.9553269157</v>
      </c>
      <c r="H92" s="74">
        <f t="shared" si="17"/>
        <v>237892.17869233305</v>
      </c>
      <c r="I92" s="75">
        <f t="shared" si="18"/>
        <v>935712.77663458278</v>
      </c>
      <c r="J92" s="76">
        <f t="shared" si="19"/>
        <v>101120.77955526042</v>
      </c>
      <c r="K92" s="77">
        <f t="shared" si="20"/>
        <v>8067.5350813142977</v>
      </c>
      <c r="L92" s="77">
        <f t="shared" si="21"/>
        <v>0</v>
      </c>
      <c r="M92" s="72">
        <f t="shared" si="22"/>
        <v>1464036.4100000001</v>
      </c>
      <c r="N92" s="78">
        <v>1339421.1100000003</v>
      </c>
      <c r="O92" s="76">
        <v>271503.46000000008</v>
      </c>
      <c r="P92" s="79">
        <f t="shared" si="23"/>
        <v>1067917.6500000004</v>
      </c>
      <c r="Q92" s="76">
        <v>115407.91999999998</v>
      </c>
      <c r="R92" s="80">
        <v>9207.380000000001</v>
      </c>
      <c r="S92" s="80">
        <v>0</v>
      </c>
      <c r="T92" s="81">
        <v>1464036.4100000004</v>
      </c>
      <c r="U92" s="82">
        <f t="shared" si="24"/>
        <v>0</v>
      </c>
    </row>
    <row r="93" spans="2:21">
      <c r="B93" s="70" t="s">
        <v>237</v>
      </c>
      <c r="C93" s="71" t="s">
        <v>238</v>
      </c>
      <c r="D93" s="85">
        <v>44912</v>
      </c>
      <c r="E93" s="87">
        <v>2.2825757575757599</v>
      </c>
      <c r="F93" s="72">
        <f t="shared" si="15"/>
        <v>1468071.0240955839</v>
      </c>
      <c r="G93" s="73">
        <f t="shared" si="16"/>
        <v>1049545.392764685</v>
      </c>
      <c r="H93" s="74">
        <f t="shared" si="17"/>
        <v>204535.83564553584</v>
      </c>
      <c r="I93" s="75">
        <f t="shared" si="18"/>
        <v>845009.55711914913</v>
      </c>
      <c r="J93" s="76">
        <f t="shared" si="19"/>
        <v>312173.25761699263</v>
      </c>
      <c r="K93" s="77">
        <f t="shared" si="20"/>
        <v>9998.7831397278387</v>
      </c>
      <c r="L93" s="77">
        <f t="shared" si="21"/>
        <v>96353.590574178452</v>
      </c>
      <c r="M93" s="72">
        <f t="shared" si="22"/>
        <v>3350983.3299999991</v>
      </c>
      <c r="N93" s="78">
        <v>2395666.8699999992</v>
      </c>
      <c r="O93" s="76">
        <v>466868.5400000001</v>
      </c>
      <c r="P93" s="79">
        <f t="shared" si="23"/>
        <v>1928798.3299999991</v>
      </c>
      <c r="Q93" s="76">
        <v>712559.10999999987</v>
      </c>
      <c r="R93" s="80">
        <v>22822.980000000007</v>
      </c>
      <c r="S93" s="80">
        <v>219934.37</v>
      </c>
      <c r="T93" s="81">
        <v>3350983.3299999991</v>
      </c>
      <c r="U93" s="82">
        <f t="shared" si="24"/>
        <v>0</v>
      </c>
    </row>
    <row r="94" spans="2:21">
      <c r="B94" s="70" t="s">
        <v>239</v>
      </c>
      <c r="C94" s="71" t="s">
        <v>240</v>
      </c>
      <c r="D94" s="85">
        <v>44963</v>
      </c>
      <c r="E94" s="87">
        <v>2.53068181818182</v>
      </c>
      <c r="F94" s="72">
        <f t="shared" si="15"/>
        <v>733766.89106421138</v>
      </c>
      <c r="G94" s="73">
        <f t="shared" si="16"/>
        <v>620267.56533453031</v>
      </c>
      <c r="H94" s="74">
        <f t="shared" si="17"/>
        <v>149333.5026493039</v>
      </c>
      <c r="I94" s="75">
        <f t="shared" si="18"/>
        <v>470934.06268522644</v>
      </c>
      <c r="J94" s="76">
        <f t="shared" si="19"/>
        <v>77787.266097889442</v>
      </c>
      <c r="K94" s="77">
        <f t="shared" si="20"/>
        <v>11150.18087112707</v>
      </c>
      <c r="L94" s="77">
        <f t="shared" si="21"/>
        <v>24561.878760664546</v>
      </c>
      <c r="M94" s="72">
        <f t="shared" si="22"/>
        <v>1856930.53</v>
      </c>
      <c r="N94" s="78">
        <v>1569699.85</v>
      </c>
      <c r="O94" s="76">
        <v>377915.58000000007</v>
      </c>
      <c r="P94" s="79">
        <f t="shared" si="23"/>
        <v>1191784.27</v>
      </c>
      <c r="Q94" s="76">
        <v>196854.81999999989</v>
      </c>
      <c r="R94" s="80">
        <v>28217.56</v>
      </c>
      <c r="S94" s="80">
        <v>62158.299999999981</v>
      </c>
      <c r="T94" s="81">
        <v>1856930.53</v>
      </c>
      <c r="U94" s="82">
        <f t="shared" si="24"/>
        <v>0</v>
      </c>
    </row>
    <row r="95" spans="2:21">
      <c r="B95" s="70" t="s">
        <v>241</v>
      </c>
      <c r="C95" s="71" t="s">
        <v>242</v>
      </c>
      <c r="D95" s="85">
        <v>44912</v>
      </c>
      <c r="E95" s="87">
        <v>1.0420454545454501</v>
      </c>
      <c r="F95" s="72">
        <f t="shared" si="15"/>
        <v>2280255.0211559543</v>
      </c>
      <c r="G95" s="73">
        <f t="shared" si="16"/>
        <v>1792671.3962922657</v>
      </c>
      <c r="H95" s="74">
        <f t="shared" si="17"/>
        <v>430884.29400218278</v>
      </c>
      <c r="I95" s="75">
        <f t="shared" si="18"/>
        <v>1361787.1022900832</v>
      </c>
      <c r="J95" s="76">
        <f t="shared" si="19"/>
        <v>335169.0259541999</v>
      </c>
      <c r="K95" s="77">
        <f t="shared" si="20"/>
        <v>38751.39978189765</v>
      </c>
      <c r="L95" s="77">
        <f t="shared" si="21"/>
        <v>113663.19912759046</v>
      </c>
      <c r="M95" s="72">
        <f t="shared" si="22"/>
        <v>2376129.3800000013</v>
      </c>
      <c r="N95" s="78">
        <v>1868045.0800000008</v>
      </c>
      <c r="O95" s="76">
        <v>449001.0199999999</v>
      </c>
      <c r="P95" s="79">
        <f t="shared" si="23"/>
        <v>1419044.060000001</v>
      </c>
      <c r="Q95" s="76">
        <v>349261.36</v>
      </c>
      <c r="R95" s="80">
        <v>40380.719999999994</v>
      </c>
      <c r="S95" s="80">
        <v>118442.22</v>
      </c>
      <c r="T95" s="81">
        <v>2376129.3800000004</v>
      </c>
      <c r="U95" s="82">
        <f t="shared" si="24"/>
        <v>0</v>
      </c>
    </row>
    <row r="96" spans="2:21">
      <c r="B96" s="70" t="s">
        <v>241</v>
      </c>
      <c r="C96" s="71" t="s">
        <v>242</v>
      </c>
      <c r="D96" s="85">
        <v>44912</v>
      </c>
      <c r="E96" s="87">
        <v>1.0420454545454501</v>
      </c>
      <c r="F96" s="72">
        <f t="shared" si="15"/>
        <v>2280255.0211559543</v>
      </c>
      <c r="G96" s="73">
        <f t="shared" si="16"/>
        <v>1792671.3962922657</v>
      </c>
      <c r="H96" s="74">
        <f t="shared" si="17"/>
        <v>430884.29400218278</v>
      </c>
      <c r="I96" s="75">
        <f t="shared" si="18"/>
        <v>1361787.1022900832</v>
      </c>
      <c r="J96" s="76">
        <f t="shared" si="19"/>
        <v>335169.0259541999</v>
      </c>
      <c r="K96" s="77">
        <f t="shared" si="20"/>
        <v>38751.39978189765</v>
      </c>
      <c r="L96" s="77">
        <f t="shared" si="21"/>
        <v>113663.19912759046</v>
      </c>
      <c r="M96" s="72">
        <f t="shared" si="22"/>
        <v>2376129.3800000013</v>
      </c>
      <c r="N96" s="78">
        <v>1868045.0800000008</v>
      </c>
      <c r="O96" s="76">
        <v>449001.0199999999</v>
      </c>
      <c r="P96" s="79">
        <f t="shared" si="23"/>
        <v>1419044.060000001</v>
      </c>
      <c r="Q96" s="76">
        <v>349261.36</v>
      </c>
      <c r="R96" s="80">
        <v>40380.719999999994</v>
      </c>
      <c r="S96" s="80">
        <v>118442.22</v>
      </c>
      <c r="T96" s="81">
        <v>2376129.3800000004</v>
      </c>
      <c r="U96" s="82">
        <f t="shared" si="24"/>
        <v>0</v>
      </c>
    </row>
    <row r="97" spans="2:21">
      <c r="B97" s="70" t="s">
        <v>243</v>
      </c>
      <c r="C97" s="71" t="s">
        <v>244</v>
      </c>
      <c r="D97" s="85">
        <v>45028</v>
      </c>
      <c r="E97" s="87">
        <v>2.53068181818182</v>
      </c>
      <c r="F97" s="72">
        <f t="shared" si="15"/>
        <v>451544.28019757487</v>
      </c>
      <c r="G97" s="73">
        <f t="shared" si="16"/>
        <v>318604.12644813623</v>
      </c>
      <c r="H97" s="74">
        <f t="shared" si="17"/>
        <v>87364.657386618695</v>
      </c>
      <c r="I97" s="75">
        <f t="shared" si="18"/>
        <v>231239.46906151756</v>
      </c>
      <c r="J97" s="76">
        <f t="shared" si="19"/>
        <v>96138.526088908766</v>
      </c>
      <c r="K97" s="77">
        <f t="shared" si="20"/>
        <v>5193.4581050740862</v>
      </c>
      <c r="L97" s="77">
        <f t="shared" si="21"/>
        <v>31608.169555455752</v>
      </c>
      <c r="M97" s="72">
        <f t="shared" si="22"/>
        <v>1142714.8999999999</v>
      </c>
      <c r="N97" s="78">
        <v>806285.66999999993</v>
      </c>
      <c r="O97" s="76">
        <v>221092.14999999997</v>
      </c>
      <c r="P97" s="79">
        <f t="shared" si="23"/>
        <v>585193.52</v>
      </c>
      <c r="Q97" s="76">
        <v>243296.02</v>
      </c>
      <c r="R97" s="80">
        <v>13142.989999999998</v>
      </c>
      <c r="S97" s="80">
        <v>79990.220000000016</v>
      </c>
      <c r="T97" s="81">
        <v>1142714.9000000001</v>
      </c>
      <c r="U97" s="82">
        <f t="shared" si="24"/>
        <v>0</v>
      </c>
    </row>
    <row r="98" spans="2:21">
      <c r="B98" s="70" t="s">
        <v>245</v>
      </c>
      <c r="C98" s="71" t="s">
        <v>246</v>
      </c>
      <c r="D98" s="85">
        <v>45031</v>
      </c>
      <c r="E98" s="87">
        <v>1.48863636363636</v>
      </c>
      <c r="F98" s="72">
        <f t="shared" si="15"/>
        <v>381494.52335877955</v>
      </c>
      <c r="G98" s="73">
        <f t="shared" si="16"/>
        <v>305718.32122137479</v>
      </c>
      <c r="H98" s="74">
        <f t="shared" si="17"/>
        <v>147968.74870229044</v>
      </c>
      <c r="I98" s="75">
        <f t="shared" si="18"/>
        <v>157749.57251908438</v>
      </c>
      <c r="J98" s="76">
        <f t="shared" si="19"/>
        <v>63684.390839694817</v>
      </c>
      <c r="K98" s="77">
        <f t="shared" si="20"/>
        <v>488.91725190839804</v>
      </c>
      <c r="L98" s="77">
        <f t="shared" si="21"/>
        <v>11602.894045801557</v>
      </c>
      <c r="M98" s="72">
        <f t="shared" si="22"/>
        <v>567906.62</v>
      </c>
      <c r="N98" s="78">
        <v>455103.41000000003</v>
      </c>
      <c r="O98" s="76">
        <v>220271.66</v>
      </c>
      <c r="P98" s="79">
        <f t="shared" si="23"/>
        <v>234831.75000000003</v>
      </c>
      <c r="Q98" s="76">
        <v>94802.900000000009</v>
      </c>
      <c r="R98" s="80">
        <v>727.81999999999982</v>
      </c>
      <c r="S98" s="80">
        <v>17272.490000000002</v>
      </c>
      <c r="T98" s="81">
        <v>567906.61999999988</v>
      </c>
      <c r="U98" s="82">
        <f t="shared" si="24"/>
        <v>0</v>
      </c>
    </row>
    <row r="99" spans="2:21">
      <c r="B99" s="70" t="s">
        <v>247</v>
      </c>
      <c r="C99" s="71" t="s">
        <v>248</v>
      </c>
      <c r="D99" s="85">
        <v>45051</v>
      </c>
      <c r="E99" s="87">
        <v>1.98484848484848</v>
      </c>
      <c r="F99" s="72">
        <f t="shared" si="15"/>
        <v>523223.16183206235</v>
      </c>
      <c r="G99" s="73">
        <f t="shared" si="16"/>
        <v>401972.82870229107</v>
      </c>
      <c r="H99" s="74">
        <f t="shared" si="17"/>
        <v>138474.27755725227</v>
      </c>
      <c r="I99" s="75">
        <f t="shared" si="18"/>
        <v>263498.5511450388</v>
      </c>
      <c r="J99" s="76">
        <f t="shared" si="19"/>
        <v>106768.38641221398</v>
      </c>
      <c r="K99" s="77">
        <f t="shared" si="20"/>
        <v>3891.6169465648954</v>
      </c>
      <c r="L99" s="77">
        <f t="shared" si="21"/>
        <v>10590.329770992395</v>
      </c>
      <c r="M99" s="72">
        <f t="shared" si="22"/>
        <v>1038518.7</v>
      </c>
      <c r="N99" s="78">
        <v>797855.16</v>
      </c>
      <c r="O99" s="76">
        <v>274850.46000000002</v>
      </c>
      <c r="P99" s="79">
        <f t="shared" si="23"/>
        <v>523004.7</v>
      </c>
      <c r="Q99" s="76">
        <v>211919.06999999995</v>
      </c>
      <c r="R99" s="80">
        <v>7724.27</v>
      </c>
      <c r="S99" s="80">
        <v>21020.200000000004</v>
      </c>
      <c r="T99" s="81">
        <v>1038518.7</v>
      </c>
      <c r="U99" s="82">
        <f t="shared" si="24"/>
        <v>0</v>
      </c>
    </row>
    <row r="100" spans="2:21">
      <c r="B100" s="70" t="s">
        <v>249</v>
      </c>
      <c r="C100" s="71" t="s">
        <v>250</v>
      </c>
      <c r="D100" s="85">
        <v>44912</v>
      </c>
      <c r="E100" s="87">
        <v>1.2901515151515199</v>
      </c>
      <c r="F100" s="72">
        <f t="shared" si="15"/>
        <v>4452231.8600117275</v>
      </c>
      <c r="G100" s="73">
        <f t="shared" si="16"/>
        <v>3380439.6993540688</v>
      </c>
      <c r="H100" s="74">
        <f t="shared" si="17"/>
        <v>559873.79894303961</v>
      </c>
      <c r="I100" s="75">
        <f t="shared" si="18"/>
        <v>2820565.9004110289</v>
      </c>
      <c r="J100" s="76">
        <f t="shared" si="19"/>
        <v>796691.37146212254</v>
      </c>
      <c r="K100" s="77">
        <f t="shared" si="20"/>
        <v>121683.86283029897</v>
      </c>
      <c r="L100" s="77">
        <f t="shared" si="21"/>
        <v>153416.92636523722</v>
      </c>
      <c r="M100" s="72">
        <f t="shared" si="22"/>
        <v>5744053.6800000006</v>
      </c>
      <c r="N100" s="78">
        <v>4361279.4000000004</v>
      </c>
      <c r="O100" s="76">
        <v>722322.03</v>
      </c>
      <c r="P100" s="79">
        <f t="shared" si="23"/>
        <v>3638957.37</v>
      </c>
      <c r="Q100" s="76">
        <v>1027852.5799999998</v>
      </c>
      <c r="R100" s="80">
        <v>156990.61999999994</v>
      </c>
      <c r="S100" s="80">
        <v>197931.07999999996</v>
      </c>
      <c r="T100" s="81">
        <v>5744053.6799999997</v>
      </c>
      <c r="U100" s="82">
        <f t="shared" si="24"/>
        <v>0</v>
      </c>
    </row>
    <row r="101" spans="2:21">
      <c r="B101" s="70" t="s">
        <v>251</v>
      </c>
      <c r="C101" s="71" t="s">
        <v>252</v>
      </c>
      <c r="D101" s="85">
        <v>45059</v>
      </c>
      <c r="E101" s="87">
        <v>2.0344696969696998</v>
      </c>
      <c r="F101" s="72">
        <f t="shared" si="15"/>
        <v>537837.73315955978</v>
      </c>
      <c r="G101" s="73">
        <f t="shared" si="16"/>
        <v>424733.27142059145</v>
      </c>
      <c r="H101" s="74">
        <f t="shared" si="17"/>
        <v>178667.00130329523</v>
      </c>
      <c r="I101" s="75">
        <f t="shared" si="18"/>
        <v>246066.27011729626</v>
      </c>
      <c r="J101" s="76">
        <f t="shared" si="19"/>
        <v>96435.774045801358</v>
      </c>
      <c r="K101" s="77">
        <f t="shared" si="20"/>
        <v>4601.5136101284616</v>
      </c>
      <c r="L101" s="77">
        <f t="shared" si="21"/>
        <v>12067.174083038528</v>
      </c>
      <c r="M101" s="72">
        <f t="shared" si="22"/>
        <v>1094214.5699999998</v>
      </c>
      <c r="N101" s="78">
        <v>864106.97</v>
      </c>
      <c r="O101" s="76">
        <v>363492.6</v>
      </c>
      <c r="P101" s="79">
        <f t="shared" si="23"/>
        <v>500614.37</v>
      </c>
      <c r="Q101" s="76">
        <v>196195.65999999995</v>
      </c>
      <c r="R101" s="80">
        <v>9361.6400000000012</v>
      </c>
      <c r="S101" s="80">
        <v>24550.30000000001</v>
      </c>
      <c r="T101" s="81">
        <v>1094214.5700000003</v>
      </c>
      <c r="U101" s="82">
        <f t="shared" si="24"/>
        <v>0</v>
      </c>
    </row>
    <row r="102" spans="2:21">
      <c r="B102" s="70" t="s">
        <v>253</v>
      </c>
      <c r="C102" s="71" t="s">
        <v>254</v>
      </c>
      <c r="D102" s="85">
        <v>44898</v>
      </c>
      <c r="E102" s="87">
        <v>4.0689393939393899</v>
      </c>
      <c r="F102" s="72">
        <f t="shared" si="15"/>
        <v>820146.66401042696</v>
      </c>
      <c r="G102" s="73">
        <f t="shared" si="16"/>
        <v>657016.83932228677</v>
      </c>
      <c r="H102" s="74">
        <f t="shared" si="17"/>
        <v>164654.99363247081</v>
      </c>
      <c r="I102" s="75">
        <f t="shared" si="18"/>
        <v>492361.84568981599</v>
      </c>
      <c r="J102" s="76">
        <f t="shared" si="19"/>
        <v>120303.7014336251</v>
      </c>
      <c r="K102" s="77">
        <f t="shared" si="20"/>
        <v>4833.7780673990001</v>
      </c>
      <c r="L102" s="77">
        <f t="shared" si="21"/>
        <v>37992.345187116021</v>
      </c>
      <c r="M102" s="72">
        <f t="shared" si="22"/>
        <v>3337127.0699999989</v>
      </c>
      <c r="N102" s="78">
        <v>2673361.6999999993</v>
      </c>
      <c r="O102" s="76">
        <v>669971.18999999983</v>
      </c>
      <c r="P102" s="79">
        <f t="shared" si="23"/>
        <v>2003390.5099999993</v>
      </c>
      <c r="Q102" s="76">
        <v>489508.46999999986</v>
      </c>
      <c r="R102" s="80">
        <v>19668.350000000002</v>
      </c>
      <c r="S102" s="80">
        <v>154588.54999999996</v>
      </c>
      <c r="T102" s="81">
        <v>3337127.0699999989</v>
      </c>
      <c r="U102" s="82">
        <f t="shared" si="24"/>
        <v>0</v>
      </c>
    </row>
    <row r="103" spans="2:21">
      <c r="B103" s="70" t="s">
        <v>255</v>
      </c>
      <c r="C103" s="71" t="s">
        <v>256</v>
      </c>
      <c r="D103" s="85">
        <v>45080</v>
      </c>
      <c r="E103" s="87">
        <v>2.6795454545454498</v>
      </c>
      <c r="F103" s="72">
        <f t="shared" si="15"/>
        <v>1437954.3491094173</v>
      </c>
      <c r="G103" s="73">
        <f t="shared" si="16"/>
        <v>1152090.487871079</v>
      </c>
      <c r="H103" s="74">
        <f t="shared" si="17"/>
        <v>257855.93180661631</v>
      </c>
      <c r="I103" s="75">
        <f t="shared" si="18"/>
        <v>894234.55606446287</v>
      </c>
      <c r="J103" s="76">
        <f t="shared" si="19"/>
        <v>227515.82697201057</v>
      </c>
      <c r="K103" s="77">
        <f t="shared" si="20"/>
        <v>8250.2351145038319</v>
      </c>
      <c r="L103" s="77">
        <f t="shared" si="21"/>
        <v>50097.799151823652</v>
      </c>
      <c r="M103" s="72">
        <f t="shared" si="22"/>
        <v>3853064.04</v>
      </c>
      <c r="N103" s="78">
        <v>3087078.8299999996</v>
      </c>
      <c r="O103" s="76">
        <v>690936.69000000018</v>
      </c>
      <c r="P103" s="79">
        <f t="shared" si="23"/>
        <v>2396142.1399999997</v>
      </c>
      <c r="Q103" s="76">
        <v>609639</v>
      </c>
      <c r="R103" s="80">
        <v>22106.880000000001</v>
      </c>
      <c r="S103" s="80">
        <v>134239.32999999996</v>
      </c>
      <c r="T103" s="81">
        <v>3853064.04</v>
      </c>
      <c r="U103" s="82">
        <f t="shared" si="24"/>
        <v>0</v>
      </c>
    </row>
    <row r="104" spans="2:21">
      <c r="B104" s="70" t="s">
        <v>257</v>
      </c>
      <c r="C104" s="71" t="s">
        <v>258</v>
      </c>
      <c r="D104" s="85">
        <v>44919</v>
      </c>
      <c r="E104" s="87">
        <v>0.89318181818181797</v>
      </c>
      <c r="F104" s="72">
        <f t="shared" si="15"/>
        <v>923293.52569974575</v>
      </c>
      <c r="G104" s="73">
        <f t="shared" si="16"/>
        <v>701405.42188295186</v>
      </c>
      <c r="H104" s="74">
        <f t="shared" si="17"/>
        <v>272805.038167939</v>
      </c>
      <c r="I104" s="75">
        <f t="shared" si="18"/>
        <v>428600.38371501293</v>
      </c>
      <c r="J104" s="76">
        <f t="shared" si="19"/>
        <v>211451.47175572516</v>
      </c>
      <c r="K104" s="77">
        <f t="shared" si="20"/>
        <v>9081.4656488549645</v>
      </c>
      <c r="L104" s="77">
        <f t="shared" si="21"/>
        <v>1355.1664122137406</v>
      </c>
      <c r="M104" s="72">
        <f t="shared" si="22"/>
        <v>824668.99</v>
      </c>
      <c r="N104" s="78">
        <v>626482.57000000007</v>
      </c>
      <c r="O104" s="76">
        <v>243664.5</v>
      </c>
      <c r="P104" s="79">
        <f t="shared" si="23"/>
        <v>382818.07000000007</v>
      </c>
      <c r="Q104" s="76">
        <v>188864.60999999993</v>
      </c>
      <c r="R104" s="80">
        <v>8111.4</v>
      </c>
      <c r="S104" s="80">
        <v>1210.4099999999999</v>
      </c>
      <c r="T104" s="81">
        <v>824668.99</v>
      </c>
      <c r="U104" s="82">
        <f t="shared" si="24"/>
        <v>0</v>
      </c>
    </row>
    <row r="105" spans="2:21">
      <c r="B105" s="70" t="s">
        <v>257</v>
      </c>
      <c r="C105" s="71" t="s">
        <v>258</v>
      </c>
      <c r="D105" s="85">
        <v>44919</v>
      </c>
      <c r="E105" s="87">
        <v>0.89318181818181797</v>
      </c>
      <c r="F105" s="72">
        <f t="shared" si="15"/>
        <v>923293.52569974575</v>
      </c>
      <c r="G105" s="73">
        <f t="shared" si="16"/>
        <v>701405.42188295186</v>
      </c>
      <c r="H105" s="74">
        <f t="shared" si="17"/>
        <v>272805.038167939</v>
      </c>
      <c r="I105" s="75">
        <f t="shared" si="18"/>
        <v>428600.38371501293</v>
      </c>
      <c r="J105" s="76">
        <f t="shared" si="19"/>
        <v>211451.47175572516</v>
      </c>
      <c r="K105" s="77">
        <f t="shared" si="20"/>
        <v>9081.4656488549645</v>
      </c>
      <c r="L105" s="77">
        <f t="shared" si="21"/>
        <v>1355.1664122137406</v>
      </c>
      <c r="M105" s="72">
        <f t="shared" si="22"/>
        <v>824668.99</v>
      </c>
      <c r="N105" s="78">
        <v>626482.57000000007</v>
      </c>
      <c r="O105" s="76">
        <v>243664.5</v>
      </c>
      <c r="P105" s="79">
        <f t="shared" si="23"/>
        <v>382818.07000000007</v>
      </c>
      <c r="Q105" s="76">
        <v>188864.60999999993</v>
      </c>
      <c r="R105" s="80">
        <v>8111.4</v>
      </c>
      <c r="S105" s="80">
        <v>1210.4099999999999</v>
      </c>
      <c r="T105" s="81">
        <v>824668.99</v>
      </c>
      <c r="U105" s="82">
        <f t="shared" si="24"/>
        <v>0</v>
      </c>
    </row>
    <row r="106" spans="2:21">
      <c r="B106" s="70" t="s">
        <v>259</v>
      </c>
      <c r="C106" s="71" t="s">
        <v>260</v>
      </c>
      <c r="D106" s="85">
        <v>45117</v>
      </c>
      <c r="E106" s="87">
        <v>2.2825757575757599</v>
      </c>
      <c r="F106" s="72">
        <f t="shared" si="15"/>
        <v>731210.21042150597</v>
      </c>
      <c r="G106" s="73">
        <f t="shared" si="16"/>
        <v>559008.81088615931</v>
      </c>
      <c r="H106" s="74">
        <f t="shared" si="17"/>
        <v>197498.62781281097</v>
      </c>
      <c r="I106" s="75">
        <f t="shared" si="18"/>
        <v>361510.18307334831</v>
      </c>
      <c r="J106" s="76">
        <f t="shared" si="19"/>
        <v>152818.59488881502</v>
      </c>
      <c r="K106" s="77">
        <f t="shared" si="20"/>
        <v>5206.6837039495476</v>
      </c>
      <c r="L106" s="77">
        <f t="shared" si="21"/>
        <v>14176.120942582129</v>
      </c>
      <c r="M106" s="72">
        <f t="shared" si="22"/>
        <v>1669042.6999999997</v>
      </c>
      <c r="N106" s="78">
        <v>1275979.9599999997</v>
      </c>
      <c r="O106" s="76">
        <v>450805.58000000007</v>
      </c>
      <c r="P106" s="79">
        <f t="shared" si="23"/>
        <v>825174.37999999966</v>
      </c>
      <c r="Q106" s="76">
        <v>348820.02000000008</v>
      </c>
      <c r="R106" s="80">
        <v>11884.650000000001</v>
      </c>
      <c r="S106" s="80">
        <v>32358.07</v>
      </c>
      <c r="T106" s="81">
        <v>1669042.7000000002</v>
      </c>
      <c r="U106" s="82">
        <f t="shared" si="24"/>
        <v>0</v>
      </c>
    </row>
    <row r="107" spans="2:21">
      <c r="B107" s="70" t="s">
        <v>261</v>
      </c>
      <c r="C107" s="71" t="s">
        <v>262</v>
      </c>
      <c r="D107" s="85">
        <v>45141</v>
      </c>
      <c r="E107" s="87">
        <v>2.6795454545454498</v>
      </c>
      <c r="F107" s="72">
        <f t="shared" si="15"/>
        <v>492030.95538592117</v>
      </c>
      <c r="G107" s="73">
        <f t="shared" si="16"/>
        <v>376786.08074639592</v>
      </c>
      <c r="H107" s="74">
        <f t="shared" si="17"/>
        <v>206572.8346055983</v>
      </c>
      <c r="I107" s="75">
        <f t="shared" si="18"/>
        <v>170213.24614079762</v>
      </c>
      <c r="J107" s="76">
        <f t="shared" si="19"/>
        <v>98902.748430873791</v>
      </c>
      <c r="K107" s="77">
        <f t="shared" si="20"/>
        <v>5829.8581849024658</v>
      </c>
      <c r="L107" s="77">
        <f t="shared" si="21"/>
        <v>10512.268023748957</v>
      </c>
      <c r="M107" s="72">
        <f t="shared" si="22"/>
        <v>1318419.31</v>
      </c>
      <c r="N107" s="78">
        <v>1009615.43</v>
      </c>
      <c r="O107" s="76">
        <v>553521.29999999993</v>
      </c>
      <c r="P107" s="79">
        <f t="shared" si="23"/>
        <v>456094.13000000012</v>
      </c>
      <c r="Q107" s="76">
        <v>265014.40999999997</v>
      </c>
      <c r="R107" s="80">
        <v>15621.36999999999</v>
      </c>
      <c r="S107" s="80">
        <v>28168.099999999995</v>
      </c>
      <c r="T107" s="81">
        <v>1318419.3100000003</v>
      </c>
      <c r="U107" s="82">
        <f t="shared" si="24"/>
        <v>0</v>
      </c>
    </row>
    <row r="108" spans="2:21">
      <c r="B108" s="70" t="s">
        <v>263</v>
      </c>
      <c r="C108" s="71" t="s">
        <v>264</v>
      </c>
      <c r="D108" s="85">
        <v>45153</v>
      </c>
      <c r="E108" s="87">
        <v>1.4390151515151499</v>
      </c>
      <c r="F108" s="72">
        <f t="shared" si="15"/>
        <v>448822.68217952142</v>
      </c>
      <c r="G108" s="73">
        <f t="shared" si="16"/>
        <v>372741.55830481747</v>
      </c>
      <c r="H108" s="74">
        <f t="shared" si="17"/>
        <v>140997.11166096356</v>
      </c>
      <c r="I108" s="75">
        <f t="shared" si="18"/>
        <v>231744.44664385391</v>
      </c>
      <c r="J108" s="76">
        <f t="shared" si="19"/>
        <v>60562.294919715758</v>
      </c>
      <c r="K108" s="77">
        <f t="shared" si="20"/>
        <v>849.7478283758893</v>
      </c>
      <c r="L108" s="77">
        <f t="shared" si="21"/>
        <v>14669.081126612282</v>
      </c>
      <c r="M108" s="72">
        <f t="shared" si="22"/>
        <v>645862.64</v>
      </c>
      <c r="N108" s="78">
        <v>536380.75</v>
      </c>
      <c r="O108" s="76">
        <v>202896.98</v>
      </c>
      <c r="P108" s="79">
        <f t="shared" si="23"/>
        <v>333483.77</v>
      </c>
      <c r="Q108" s="76">
        <v>87150.059999999969</v>
      </c>
      <c r="R108" s="80">
        <v>1222.8</v>
      </c>
      <c r="S108" s="80">
        <v>21109.03</v>
      </c>
      <c r="T108" s="81">
        <v>645862.6399999999</v>
      </c>
      <c r="U108" s="82">
        <f t="shared" si="24"/>
        <v>0</v>
      </c>
    </row>
    <row r="109" spans="2:21">
      <c r="B109" s="70" t="s">
        <v>265</v>
      </c>
      <c r="C109" s="71" t="s">
        <v>266</v>
      </c>
      <c r="D109" s="85">
        <v>45156</v>
      </c>
      <c r="E109" s="87">
        <v>0.34734848484848502</v>
      </c>
      <c r="F109" s="72">
        <f t="shared" si="15"/>
        <v>871180.22159214818</v>
      </c>
      <c r="G109" s="73">
        <f t="shared" si="16"/>
        <v>637727.1520174481</v>
      </c>
      <c r="H109" s="74">
        <f t="shared" si="17"/>
        <v>320825.89923664113</v>
      </c>
      <c r="I109" s="75">
        <f t="shared" si="18"/>
        <v>316901.25278080697</v>
      </c>
      <c r="J109" s="76">
        <f t="shared" si="19"/>
        <v>176337.77797164663</v>
      </c>
      <c r="K109" s="77">
        <f t="shared" si="20"/>
        <v>4592.1317339149373</v>
      </c>
      <c r="L109" s="77">
        <f t="shared" si="21"/>
        <v>52523.159869138472</v>
      </c>
      <c r="M109" s="72">
        <f t="shared" si="22"/>
        <v>302603.13000000012</v>
      </c>
      <c r="N109" s="78">
        <v>221513.56000000006</v>
      </c>
      <c r="O109" s="76">
        <v>111438.39000000001</v>
      </c>
      <c r="P109" s="79">
        <f t="shared" si="23"/>
        <v>110075.17000000004</v>
      </c>
      <c r="Q109" s="76">
        <v>61250.660000000011</v>
      </c>
      <c r="R109" s="80">
        <v>1595.0699999999997</v>
      </c>
      <c r="S109" s="80">
        <v>18243.84</v>
      </c>
      <c r="T109" s="81">
        <v>302603.12999999995</v>
      </c>
      <c r="U109" s="82">
        <f t="shared" si="24"/>
        <v>0</v>
      </c>
    </row>
    <row r="110" spans="2:21">
      <c r="B110" s="70" t="s">
        <v>267</v>
      </c>
      <c r="C110" s="71" t="s">
        <v>268</v>
      </c>
      <c r="D110" s="85">
        <v>45175</v>
      </c>
      <c r="E110" s="87">
        <v>1.7863636363636399</v>
      </c>
      <c r="F110" s="72">
        <f t="shared" si="15"/>
        <v>533226.55063613143</v>
      </c>
      <c r="G110" s="73">
        <f t="shared" si="16"/>
        <v>392158.9119592869</v>
      </c>
      <c r="H110" s="74">
        <f t="shared" si="17"/>
        <v>158867.53078880376</v>
      </c>
      <c r="I110" s="75">
        <f t="shared" si="18"/>
        <v>233291.38117048316</v>
      </c>
      <c r="J110" s="76">
        <f t="shared" si="19"/>
        <v>111284.95674300235</v>
      </c>
      <c r="K110" s="77">
        <f t="shared" si="20"/>
        <v>13969.776081424903</v>
      </c>
      <c r="L110" s="77">
        <f t="shared" si="21"/>
        <v>15812.905852417265</v>
      </c>
      <c r="M110" s="72">
        <f t="shared" si="22"/>
        <v>952536.52000000025</v>
      </c>
      <c r="N110" s="78">
        <v>700538.42000000027</v>
      </c>
      <c r="O110" s="76">
        <v>283795.18</v>
      </c>
      <c r="P110" s="79">
        <f t="shared" si="23"/>
        <v>416743.24000000028</v>
      </c>
      <c r="Q110" s="76">
        <v>198795.40000000005</v>
      </c>
      <c r="R110" s="80">
        <v>24955.099999999991</v>
      </c>
      <c r="S110" s="80">
        <v>28247.599999999988</v>
      </c>
      <c r="T110" s="81">
        <v>952536.52</v>
      </c>
      <c r="U110" s="82">
        <f t="shared" si="24"/>
        <v>0</v>
      </c>
    </row>
    <row r="111" spans="2:21">
      <c r="B111" s="70" t="s">
        <v>269</v>
      </c>
      <c r="C111" s="71" t="s">
        <v>270</v>
      </c>
      <c r="D111" s="85">
        <v>45190</v>
      </c>
      <c r="E111" s="87">
        <v>1.68712121212121</v>
      </c>
      <c r="F111" s="72">
        <f t="shared" si="15"/>
        <v>904325.78823529521</v>
      </c>
      <c r="G111" s="73">
        <f t="shared" si="16"/>
        <v>655243.60197575286</v>
      </c>
      <c r="H111" s="74">
        <f t="shared" si="17"/>
        <v>260447.27956892722</v>
      </c>
      <c r="I111" s="75">
        <f t="shared" si="18"/>
        <v>394796.32240682567</v>
      </c>
      <c r="J111" s="76">
        <f t="shared" si="19"/>
        <v>176655.81338123055</v>
      </c>
      <c r="K111" s="77">
        <f t="shared" si="20"/>
        <v>14013.954557700956</v>
      </c>
      <c r="L111" s="77">
        <f t="shared" si="21"/>
        <v>58412.418320610741</v>
      </c>
      <c r="M111" s="72">
        <f t="shared" si="22"/>
        <v>1525707.22</v>
      </c>
      <c r="N111" s="78">
        <v>1105475.3799999999</v>
      </c>
      <c r="O111" s="76">
        <v>439406.13000000012</v>
      </c>
      <c r="P111" s="79">
        <f t="shared" si="23"/>
        <v>666069.24999999977</v>
      </c>
      <c r="Q111" s="76">
        <v>298039.76999999996</v>
      </c>
      <c r="R111" s="80">
        <v>23643.239999999991</v>
      </c>
      <c r="S111" s="80">
        <v>98548.829999999973</v>
      </c>
      <c r="T111" s="81">
        <v>1525707.2199999995</v>
      </c>
      <c r="U111" s="82">
        <f t="shared" si="24"/>
        <v>0</v>
      </c>
    </row>
    <row r="112" spans="2:21">
      <c r="B112" s="70" t="s">
        <v>271</v>
      </c>
      <c r="C112" s="71" t="s">
        <v>272</v>
      </c>
      <c r="D112" s="85">
        <v>45191</v>
      </c>
      <c r="E112" s="87">
        <v>2.0344696969696998</v>
      </c>
      <c r="F112" s="72">
        <f t="shared" si="15"/>
        <v>657622.75151740748</v>
      </c>
      <c r="G112" s="73">
        <f t="shared" si="16"/>
        <v>467157.11785514746</v>
      </c>
      <c r="H112" s="74">
        <f t="shared" si="17"/>
        <v>183457.71409420937</v>
      </c>
      <c r="I112" s="75">
        <f t="shared" si="18"/>
        <v>283699.40376093815</v>
      </c>
      <c r="J112" s="76">
        <f t="shared" si="19"/>
        <v>140549.24505678628</v>
      </c>
      <c r="K112" s="77">
        <f t="shared" si="20"/>
        <v>3814.0455036306025</v>
      </c>
      <c r="L112" s="77">
        <f t="shared" si="21"/>
        <v>46102.343101843151</v>
      </c>
      <c r="M112" s="72">
        <f t="shared" si="22"/>
        <v>1337913.5600000003</v>
      </c>
      <c r="N112" s="78">
        <v>950417.00000000023</v>
      </c>
      <c r="O112" s="76">
        <v>373239.16</v>
      </c>
      <c r="P112" s="79">
        <f t="shared" si="23"/>
        <v>577177.84000000032</v>
      </c>
      <c r="Q112" s="76">
        <v>285943.18000000005</v>
      </c>
      <c r="R112" s="80">
        <v>7759.5599999999977</v>
      </c>
      <c r="S112" s="80">
        <v>93793.819999999963</v>
      </c>
      <c r="T112" s="81">
        <v>1337913.5600000003</v>
      </c>
      <c r="U112" s="82">
        <f t="shared" si="24"/>
        <v>0</v>
      </c>
    </row>
    <row r="113" spans="2:21">
      <c r="B113" s="70" t="s">
        <v>273</v>
      </c>
      <c r="C113" s="71" t="s">
        <v>274</v>
      </c>
      <c r="D113" s="85">
        <v>44909</v>
      </c>
      <c r="E113" s="87">
        <v>2.6299242424242402</v>
      </c>
      <c r="F113" s="72">
        <f t="shared" si="15"/>
        <v>972400.04436122789</v>
      </c>
      <c r="G113" s="73">
        <f t="shared" si="16"/>
        <v>625128.04113495653</v>
      </c>
      <c r="H113" s="74">
        <f t="shared" si="17"/>
        <v>182125.04842287209</v>
      </c>
      <c r="I113" s="75">
        <f t="shared" si="18"/>
        <v>443002.99271208449</v>
      </c>
      <c r="J113" s="76">
        <f t="shared" si="19"/>
        <v>268477.17079072463</v>
      </c>
      <c r="K113" s="77">
        <f t="shared" si="20"/>
        <v>51277.66717557254</v>
      </c>
      <c r="L113" s="77">
        <f t="shared" si="21"/>
        <v>27517.165259974096</v>
      </c>
      <c r="M113" s="72">
        <f t="shared" si="22"/>
        <v>2557338.4499999997</v>
      </c>
      <c r="N113" s="78">
        <v>1644039.39</v>
      </c>
      <c r="O113" s="76">
        <v>478975.07999999996</v>
      </c>
      <c r="P113" s="79">
        <f t="shared" si="23"/>
        <v>1165064.31</v>
      </c>
      <c r="Q113" s="76">
        <v>706074.61999999988</v>
      </c>
      <c r="R113" s="80">
        <v>134856.37999999995</v>
      </c>
      <c r="S113" s="80">
        <v>72368.06</v>
      </c>
      <c r="T113" s="81">
        <v>2557338.4500000002</v>
      </c>
      <c r="U113" s="82">
        <f t="shared" si="24"/>
        <v>0</v>
      </c>
    </row>
    <row r="114" spans="2:21">
      <c r="B114" s="70" t="s">
        <v>273</v>
      </c>
      <c r="C114" s="71" t="s">
        <v>274</v>
      </c>
      <c r="D114" s="85">
        <v>44909</v>
      </c>
      <c r="E114" s="87">
        <v>2.6299242424242402</v>
      </c>
      <c r="F114" s="72">
        <f t="shared" si="15"/>
        <v>972400.04436122789</v>
      </c>
      <c r="G114" s="73">
        <f t="shared" si="16"/>
        <v>625128.04113495653</v>
      </c>
      <c r="H114" s="74">
        <f t="shared" si="17"/>
        <v>182125.04842287209</v>
      </c>
      <c r="I114" s="75">
        <f t="shared" si="18"/>
        <v>443002.99271208449</v>
      </c>
      <c r="J114" s="76">
        <f t="shared" si="19"/>
        <v>268477.17079072463</v>
      </c>
      <c r="K114" s="77">
        <f t="shared" si="20"/>
        <v>51277.66717557254</v>
      </c>
      <c r="L114" s="77">
        <f t="shared" si="21"/>
        <v>27517.165259974096</v>
      </c>
      <c r="M114" s="72">
        <f t="shared" si="22"/>
        <v>2557338.4499999997</v>
      </c>
      <c r="N114" s="78">
        <v>1644039.39</v>
      </c>
      <c r="O114" s="76">
        <v>478975.07999999996</v>
      </c>
      <c r="P114" s="79">
        <f t="shared" si="23"/>
        <v>1165064.31</v>
      </c>
      <c r="Q114" s="76">
        <v>706074.61999999988</v>
      </c>
      <c r="R114" s="80">
        <v>134856.37999999995</v>
      </c>
      <c r="S114" s="80">
        <v>72368.06</v>
      </c>
      <c r="T114" s="81">
        <v>2557338.4500000002</v>
      </c>
      <c r="U114" s="82">
        <f t="shared" si="24"/>
        <v>0</v>
      </c>
    </row>
    <row r="115" spans="2:21">
      <c r="B115" s="70" t="s">
        <v>275</v>
      </c>
      <c r="C115" s="71" t="s">
        <v>276</v>
      </c>
      <c r="D115" s="85">
        <v>45201</v>
      </c>
      <c r="E115" s="87">
        <v>4.8132575757575804</v>
      </c>
      <c r="F115" s="72">
        <f t="shared" ref="F115:F136" si="25">IFERROR(M115/$E115,0)</f>
        <v>5.8760939242856071E-11</v>
      </c>
      <c r="G115" s="73">
        <f t="shared" ref="G115:G136" si="26">IFERROR(N115/$E115,0)</f>
        <v>-102793.5617848429</v>
      </c>
      <c r="H115" s="74">
        <f t="shared" ref="H115:H136" si="27">IFERROR(O115/$E115,0)</f>
        <v>5.0626966746231602E-12</v>
      </c>
      <c r="I115" s="75">
        <f t="shared" ref="I115:I136" si="28">IFERROR(P115/$E115,0)</f>
        <v>-102793.5617848429</v>
      </c>
      <c r="J115" s="76">
        <f t="shared" ref="J115:J136" si="29">IFERROR(Q115/$E115,0)</f>
        <v>102793.56178484292</v>
      </c>
      <c r="K115" s="77">
        <f t="shared" ref="K115:K136" si="30">IFERROR(R115/$E115,0)</f>
        <v>1.5072206749643524E-12</v>
      </c>
      <c r="L115" s="77">
        <f t="shared" ref="L115:L136" si="31">IFERROR(S115/$E115,0)</f>
        <v>2.0974134524871223E-11</v>
      </c>
      <c r="M115" s="72">
        <f t="shared" ref="M115:M136" si="32">SUM(O115:S115)</f>
        <v>2.8283153596930788E-10</v>
      </c>
      <c r="N115" s="78">
        <v>-494771.88999999996</v>
      </c>
      <c r="O115" s="76">
        <v>2.4368063122892636E-11</v>
      </c>
      <c r="P115" s="79">
        <f t="shared" ref="P115:P136" si="33">N115-O115</f>
        <v>-494771.88999999996</v>
      </c>
      <c r="Q115" s="76">
        <v>494771.89000000013</v>
      </c>
      <c r="R115" s="80">
        <v>7.2546413321106229E-12</v>
      </c>
      <c r="S115" s="80">
        <v>1.0095391189679503E-10</v>
      </c>
      <c r="T115" s="81">
        <v>2.3283064365386963E-10</v>
      </c>
      <c r="U115" s="82">
        <f t="shared" ref="U115:U136" si="34">T115-M115</f>
        <v>-5.000089231543825E-11</v>
      </c>
    </row>
    <row r="116" spans="2:21">
      <c r="B116" s="70" t="s">
        <v>277</v>
      </c>
      <c r="C116" s="71" t="s">
        <v>278</v>
      </c>
      <c r="D116" s="85">
        <v>45216</v>
      </c>
      <c r="E116" s="87">
        <v>3.2253787878787898</v>
      </c>
      <c r="F116" s="72">
        <f t="shared" si="25"/>
        <v>492574.19189665263</v>
      </c>
      <c r="G116" s="73">
        <f t="shared" si="26"/>
        <v>371139.5928126832</v>
      </c>
      <c r="H116" s="74">
        <f t="shared" si="27"/>
        <v>211853.12328831467</v>
      </c>
      <c r="I116" s="75">
        <f t="shared" si="28"/>
        <v>159286.46952436853</v>
      </c>
      <c r="J116" s="76">
        <f t="shared" si="29"/>
        <v>102512.41226071636</v>
      </c>
      <c r="K116" s="77">
        <f t="shared" si="30"/>
        <v>2692.5519671168508</v>
      </c>
      <c r="L116" s="77">
        <f t="shared" si="31"/>
        <v>16229.634856136225</v>
      </c>
      <c r="M116" s="72">
        <f t="shared" si="32"/>
        <v>1588738.3499999999</v>
      </c>
      <c r="N116" s="78">
        <v>1197065.7699999998</v>
      </c>
      <c r="O116" s="76">
        <v>683306.57000000018</v>
      </c>
      <c r="P116" s="79">
        <f t="shared" si="33"/>
        <v>513759.1999999996</v>
      </c>
      <c r="Q116" s="76">
        <v>330641.3600000001</v>
      </c>
      <c r="R116" s="80">
        <v>8684.5</v>
      </c>
      <c r="S116" s="80">
        <v>52346.720000000016</v>
      </c>
      <c r="T116" s="81">
        <v>1588738.3499999996</v>
      </c>
      <c r="U116" s="82">
        <f t="shared" si="34"/>
        <v>0</v>
      </c>
    </row>
    <row r="117" spans="2:21">
      <c r="B117" s="70" t="s">
        <v>279</v>
      </c>
      <c r="C117" s="71" t="s">
        <v>280</v>
      </c>
      <c r="D117" s="85">
        <v>45216</v>
      </c>
      <c r="E117" s="87">
        <v>1.83598484848485</v>
      </c>
      <c r="F117" s="72">
        <f t="shared" si="25"/>
        <v>821244.46791829925</v>
      </c>
      <c r="G117" s="73">
        <f t="shared" si="26"/>
        <v>632151.93249432568</v>
      </c>
      <c r="H117" s="74">
        <f t="shared" si="27"/>
        <v>392445.06325562153</v>
      </c>
      <c r="I117" s="75">
        <f t="shared" si="28"/>
        <v>239706.86923870412</v>
      </c>
      <c r="J117" s="76">
        <f t="shared" si="29"/>
        <v>153983.49841138837</v>
      </c>
      <c r="K117" s="77">
        <f t="shared" si="30"/>
        <v>8910.6290901588582</v>
      </c>
      <c r="L117" s="77">
        <f t="shared" si="31"/>
        <v>26198.407922426231</v>
      </c>
      <c r="M117" s="72">
        <f t="shared" si="32"/>
        <v>1507792.4</v>
      </c>
      <c r="N117" s="78">
        <v>1160621.3699999996</v>
      </c>
      <c r="O117" s="76">
        <v>720523.18999999971</v>
      </c>
      <c r="P117" s="79">
        <f t="shared" si="33"/>
        <v>440098.17999999993</v>
      </c>
      <c r="Q117" s="76">
        <v>282711.37</v>
      </c>
      <c r="R117" s="80">
        <v>16359.780000000008</v>
      </c>
      <c r="S117" s="80">
        <v>48099.880000000019</v>
      </c>
      <c r="T117" s="81">
        <v>1507792.4</v>
      </c>
      <c r="U117" s="82">
        <f t="shared" si="34"/>
        <v>0</v>
      </c>
    </row>
    <row r="118" spans="2:21">
      <c r="B118" s="70" t="s">
        <v>281</v>
      </c>
      <c r="C118" s="71" t="s">
        <v>282</v>
      </c>
      <c r="D118" s="85">
        <v>45216</v>
      </c>
      <c r="E118" s="87">
        <v>0.49621212121212099</v>
      </c>
      <c r="F118" s="72">
        <f t="shared" si="25"/>
        <v>582340.99419847364</v>
      </c>
      <c r="G118" s="73">
        <f t="shared" si="26"/>
        <v>309912.8848854964</v>
      </c>
      <c r="H118" s="74">
        <f t="shared" si="27"/>
        <v>67541.276335877905</v>
      </c>
      <c r="I118" s="75">
        <f t="shared" si="28"/>
        <v>242371.60854961848</v>
      </c>
      <c r="J118" s="76">
        <f t="shared" si="29"/>
        <v>59546.38900763361</v>
      </c>
      <c r="K118" s="77">
        <f t="shared" si="30"/>
        <v>5522.335877862598</v>
      </c>
      <c r="L118" s="77">
        <f t="shared" si="31"/>
        <v>207359.38442748101</v>
      </c>
      <c r="M118" s="72">
        <f t="shared" si="32"/>
        <v>288964.66000000003</v>
      </c>
      <c r="N118" s="78">
        <v>153782.53000000003</v>
      </c>
      <c r="O118" s="76">
        <v>33514.800000000003</v>
      </c>
      <c r="P118" s="79">
        <f t="shared" si="33"/>
        <v>120267.73000000003</v>
      </c>
      <c r="Q118" s="76">
        <v>29547.64</v>
      </c>
      <c r="R118" s="80">
        <v>2740.25</v>
      </c>
      <c r="S118" s="80">
        <v>102894.24</v>
      </c>
      <c r="T118" s="81">
        <v>288964.65999999997</v>
      </c>
      <c r="U118" s="82">
        <f t="shared" si="34"/>
        <v>0</v>
      </c>
    </row>
    <row r="119" spans="2:21">
      <c r="B119" s="70" t="s">
        <v>283</v>
      </c>
      <c r="C119" s="71" t="s">
        <v>284</v>
      </c>
      <c r="D119" s="85">
        <v>45232</v>
      </c>
      <c r="E119" s="87">
        <v>0.19848484848484799</v>
      </c>
      <c r="F119" s="72">
        <f t="shared" si="25"/>
        <v>393714.33435114595</v>
      </c>
      <c r="G119" s="73">
        <f t="shared" si="26"/>
        <v>255741.13282442815</v>
      </c>
      <c r="H119" s="74">
        <f t="shared" si="27"/>
        <v>59092.621374045943</v>
      </c>
      <c r="I119" s="75">
        <f t="shared" si="28"/>
        <v>196648.51145038221</v>
      </c>
      <c r="J119" s="76">
        <f t="shared" si="29"/>
        <v>121690.0946564888</v>
      </c>
      <c r="K119" s="77">
        <f t="shared" si="30"/>
        <v>443.76183206106987</v>
      </c>
      <c r="L119" s="77">
        <f t="shared" si="31"/>
        <v>15839.345038167978</v>
      </c>
      <c r="M119" s="72">
        <f t="shared" si="32"/>
        <v>78146.329999999987</v>
      </c>
      <c r="N119" s="78">
        <v>50760.740000000005</v>
      </c>
      <c r="O119" s="76">
        <v>11728.989999999998</v>
      </c>
      <c r="P119" s="79">
        <f t="shared" si="33"/>
        <v>39031.750000000007</v>
      </c>
      <c r="Q119" s="76">
        <v>24153.639999999989</v>
      </c>
      <c r="R119" s="80">
        <v>88.080000000000013</v>
      </c>
      <c r="S119" s="80">
        <v>3143.87</v>
      </c>
      <c r="T119" s="81">
        <v>78146.329999999987</v>
      </c>
      <c r="U119" s="82">
        <f t="shared" si="34"/>
        <v>0</v>
      </c>
    </row>
    <row r="120" spans="2:21">
      <c r="B120" s="70" t="s">
        <v>285</v>
      </c>
      <c r="C120" s="71" t="s">
        <v>286</v>
      </c>
      <c r="D120" s="85">
        <v>45233</v>
      </c>
      <c r="E120" s="87">
        <v>0.84356060606060601</v>
      </c>
      <c r="F120" s="72">
        <f t="shared" si="25"/>
        <v>941293.67148630437</v>
      </c>
      <c r="G120" s="73">
        <f t="shared" si="26"/>
        <v>679832.76587337221</v>
      </c>
      <c r="H120" s="74">
        <f t="shared" si="27"/>
        <v>299480.16560395155</v>
      </c>
      <c r="I120" s="75">
        <f t="shared" si="28"/>
        <v>380352.6002694206</v>
      </c>
      <c r="J120" s="76">
        <f t="shared" si="29"/>
        <v>198352.94440951952</v>
      </c>
      <c r="K120" s="77">
        <f t="shared" si="30"/>
        <v>8972.834845083069</v>
      </c>
      <c r="L120" s="77">
        <f t="shared" si="31"/>
        <v>54135.126358329588</v>
      </c>
      <c r="M120" s="72">
        <f t="shared" si="32"/>
        <v>794038.25999999989</v>
      </c>
      <c r="N120" s="78">
        <v>573480.1399999999</v>
      </c>
      <c r="O120" s="76">
        <v>252629.67</v>
      </c>
      <c r="P120" s="79">
        <f t="shared" si="33"/>
        <v>320850.46999999986</v>
      </c>
      <c r="Q120" s="76">
        <v>167322.72999999998</v>
      </c>
      <c r="R120" s="80">
        <v>7569.1299999999983</v>
      </c>
      <c r="S120" s="80">
        <v>45666.259999999995</v>
      </c>
      <c r="T120" s="81">
        <v>794038.25999999989</v>
      </c>
      <c r="U120" s="82">
        <f t="shared" si="34"/>
        <v>0</v>
      </c>
    </row>
    <row r="121" spans="2:21">
      <c r="B121" s="70" t="s">
        <v>287</v>
      </c>
      <c r="C121" s="71" t="s">
        <v>288</v>
      </c>
      <c r="D121" s="85">
        <v>45236</v>
      </c>
      <c r="E121" s="87">
        <v>1.14128787878788</v>
      </c>
      <c r="F121" s="72">
        <f t="shared" si="25"/>
        <v>452957.82037836016</v>
      </c>
      <c r="G121" s="73">
        <f t="shared" si="26"/>
        <v>349710.8288084963</v>
      </c>
      <c r="H121" s="74">
        <f t="shared" si="27"/>
        <v>87230.427879190102</v>
      </c>
      <c r="I121" s="75">
        <f t="shared" si="28"/>
        <v>262480.40092930617</v>
      </c>
      <c r="J121" s="76">
        <f t="shared" si="29"/>
        <v>60937.806571523324</v>
      </c>
      <c r="K121" s="77">
        <f t="shared" si="30"/>
        <v>1636.0377032857602</v>
      </c>
      <c r="L121" s="77">
        <f t="shared" si="31"/>
        <v>40673.147295054718</v>
      </c>
      <c r="M121" s="72">
        <f t="shared" si="32"/>
        <v>516955.27000000019</v>
      </c>
      <c r="N121" s="78">
        <v>399120.73000000016</v>
      </c>
      <c r="O121" s="76">
        <v>99555.030000000013</v>
      </c>
      <c r="P121" s="79">
        <f t="shared" si="33"/>
        <v>299565.70000000013</v>
      </c>
      <c r="Q121" s="76">
        <v>69547.579999999987</v>
      </c>
      <c r="R121" s="80">
        <v>1867.1900000000003</v>
      </c>
      <c r="S121" s="80">
        <v>46419.77</v>
      </c>
      <c r="T121" s="81">
        <v>516955.27000000025</v>
      </c>
      <c r="U121" s="82">
        <f t="shared" si="34"/>
        <v>0</v>
      </c>
    </row>
    <row r="122" spans="2:21">
      <c r="B122" s="70" t="s">
        <v>289</v>
      </c>
      <c r="C122" s="71" t="s">
        <v>290</v>
      </c>
      <c r="D122" s="85">
        <v>45239</v>
      </c>
      <c r="E122" s="87">
        <v>9.9242424242424201E-2</v>
      </c>
      <c r="F122" s="72">
        <f t="shared" si="25"/>
        <v>319876.60763358796</v>
      </c>
      <c r="G122" s="73">
        <f t="shared" si="26"/>
        <v>218598.34809160314</v>
      </c>
      <c r="H122" s="74">
        <f t="shared" si="27"/>
        <v>110612.47328244278</v>
      </c>
      <c r="I122" s="75">
        <f t="shared" si="28"/>
        <v>107985.87480916036</v>
      </c>
      <c r="J122" s="76">
        <f t="shared" si="29"/>
        <v>89246.711450381728</v>
      </c>
      <c r="K122" s="77">
        <f t="shared" si="30"/>
        <v>12031.548091603057</v>
      </c>
      <c r="L122" s="77">
        <f t="shared" si="31"/>
        <v>0</v>
      </c>
      <c r="M122" s="72">
        <f t="shared" si="32"/>
        <v>31745.33</v>
      </c>
      <c r="N122" s="78">
        <v>21694.23</v>
      </c>
      <c r="O122" s="76">
        <v>10977.449999999999</v>
      </c>
      <c r="P122" s="79">
        <f t="shared" si="33"/>
        <v>10716.78</v>
      </c>
      <c r="Q122" s="76">
        <v>8857.0600000000013</v>
      </c>
      <c r="R122" s="80">
        <v>1194.04</v>
      </c>
      <c r="S122" s="80">
        <v>0</v>
      </c>
      <c r="T122" s="81">
        <v>31745.329999999991</v>
      </c>
      <c r="U122" s="82">
        <f t="shared" si="34"/>
        <v>0</v>
      </c>
    </row>
    <row r="123" spans="2:21">
      <c r="B123" s="70" t="s">
        <v>291</v>
      </c>
      <c r="C123" s="71" t="s">
        <v>292</v>
      </c>
      <c r="D123" s="85">
        <v>45240</v>
      </c>
      <c r="E123" s="87">
        <v>0.69469696969697003</v>
      </c>
      <c r="F123" s="72">
        <f t="shared" si="25"/>
        <v>523991.53282442718</v>
      </c>
      <c r="G123" s="73">
        <f t="shared" si="26"/>
        <v>411392.71145038144</v>
      </c>
      <c r="H123" s="74">
        <f t="shared" si="27"/>
        <v>115394.25605234454</v>
      </c>
      <c r="I123" s="75">
        <f t="shared" si="28"/>
        <v>295998.45539803692</v>
      </c>
      <c r="J123" s="76">
        <f t="shared" si="29"/>
        <v>67085.566848418719</v>
      </c>
      <c r="K123" s="77">
        <f t="shared" si="30"/>
        <v>258.57317339149387</v>
      </c>
      <c r="L123" s="77">
        <f t="shared" si="31"/>
        <v>45254.68135223553</v>
      </c>
      <c r="M123" s="72">
        <f t="shared" si="32"/>
        <v>364015.32999999996</v>
      </c>
      <c r="N123" s="78">
        <v>285793.26999999996</v>
      </c>
      <c r="O123" s="76">
        <v>80164.039999999994</v>
      </c>
      <c r="P123" s="79">
        <f t="shared" si="33"/>
        <v>205629.22999999998</v>
      </c>
      <c r="Q123" s="76">
        <v>46604.14</v>
      </c>
      <c r="R123" s="80">
        <v>179.63</v>
      </c>
      <c r="S123" s="80">
        <v>31438.29</v>
      </c>
      <c r="T123" s="81">
        <v>364015.3299999999</v>
      </c>
      <c r="U123" s="82">
        <f t="shared" si="34"/>
        <v>0</v>
      </c>
    </row>
    <row r="124" spans="2:21">
      <c r="B124" s="70" t="s">
        <v>293</v>
      </c>
      <c r="C124" s="71" t="s">
        <v>294</v>
      </c>
      <c r="D124" s="85">
        <v>45240</v>
      </c>
      <c r="E124" s="87">
        <v>2.33219696969697</v>
      </c>
      <c r="F124" s="72">
        <f t="shared" si="25"/>
        <v>463144.34159493254</v>
      </c>
      <c r="G124" s="73">
        <f t="shared" si="26"/>
        <v>343489.97979535483</v>
      </c>
      <c r="H124" s="74">
        <f t="shared" si="27"/>
        <v>169347.78457040765</v>
      </c>
      <c r="I124" s="75">
        <f t="shared" si="28"/>
        <v>174142.19522494721</v>
      </c>
      <c r="J124" s="76">
        <f t="shared" si="29"/>
        <v>89505.197336365076</v>
      </c>
      <c r="K124" s="77">
        <f t="shared" si="30"/>
        <v>3066.3147636836115</v>
      </c>
      <c r="L124" s="77">
        <f t="shared" si="31"/>
        <v>27082.849699528982</v>
      </c>
      <c r="M124" s="72">
        <f t="shared" si="32"/>
        <v>1080143.83</v>
      </c>
      <c r="N124" s="78">
        <v>801086.29</v>
      </c>
      <c r="O124" s="76">
        <v>394952.39</v>
      </c>
      <c r="P124" s="79">
        <f t="shared" si="33"/>
        <v>406133.9</v>
      </c>
      <c r="Q124" s="76">
        <v>208743.74999999994</v>
      </c>
      <c r="R124" s="80">
        <v>7151.25</v>
      </c>
      <c r="S124" s="80">
        <v>63162.539999999986</v>
      </c>
      <c r="T124" s="81">
        <v>1080143.8299999998</v>
      </c>
      <c r="U124" s="82">
        <f t="shared" si="34"/>
        <v>0</v>
      </c>
    </row>
    <row r="125" spans="2:21">
      <c r="B125" s="70" t="s">
        <v>295</v>
      </c>
      <c r="C125" s="71" t="s">
        <v>296</v>
      </c>
      <c r="D125" s="85">
        <v>45245</v>
      </c>
      <c r="E125" s="87">
        <v>0</v>
      </c>
      <c r="F125" s="72">
        <f t="shared" si="25"/>
        <v>0</v>
      </c>
      <c r="G125" s="73">
        <f t="shared" si="26"/>
        <v>0</v>
      </c>
      <c r="H125" s="74">
        <f t="shared" si="27"/>
        <v>0</v>
      </c>
      <c r="I125" s="75">
        <f t="shared" si="28"/>
        <v>0</v>
      </c>
      <c r="J125" s="76">
        <f t="shared" si="29"/>
        <v>0</v>
      </c>
      <c r="K125" s="77">
        <f t="shared" si="30"/>
        <v>0</v>
      </c>
      <c r="L125" s="77">
        <f t="shared" si="31"/>
        <v>0</v>
      </c>
      <c r="M125" s="72">
        <f t="shared" si="32"/>
        <v>683.69999999999993</v>
      </c>
      <c r="N125" s="78">
        <v>0</v>
      </c>
      <c r="O125" s="76">
        <v>0</v>
      </c>
      <c r="P125" s="79">
        <f t="shared" si="33"/>
        <v>0</v>
      </c>
      <c r="Q125" s="76">
        <v>0</v>
      </c>
      <c r="R125" s="80">
        <v>0</v>
      </c>
      <c r="S125" s="80">
        <v>683.69999999999993</v>
      </c>
      <c r="T125" s="81">
        <v>683.69999999999993</v>
      </c>
      <c r="U125" s="82">
        <f t="shared" si="34"/>
        <v>0</v>
      </c>
    </row>
    <row r="126" spans="2:21">
      <c r="B126" s="70" t="s">
        <v>297</v>
      </c>
      <c r="C126" s="71" t="s">
        <v>298</v>
      </c>
      <c r="D126" s="85">
        <v>45246</v>
      </c>
      <c r="E126" s="87">
        <v>0.79393939393939394</v>
      </c>
      <c r="F126" s="72">
        <f t="shared" si="25"/>
        <v>1008936.0171755726</v>
      </c>
      <c r="G126" s="73">
        <f t="shared" si="26"/>
        <v>729389.2889312976</v>
      </c>
      <c r="H126" s="74">
        <f t="shared" si="27"/>
        <v>317865.0812977099</v>
      </c>
      <c r="I126" s="75">
        <f t="shared" si="28"/>
        <v>411524.20763358765</v>
      </c>
      <c r="J126" s="76">
        <f>IFERROR(Q126/$E126,0)</f>
        <v>232782.49122137408</v>
      </c>
      <c r="K126" s="77">
        <f t="shared" si="30"/>
        <v>8544.8083969465679</v>
      </c>
      <c r="L126" s="77">
        <f t="shared" si="31"/>
        <v>38219.428625954191</v>
      </c>
      <c r="M126" s="72">
        <f t="shared" si="32"/>
        <v>801034.05</v>
      </c>
      <c r="N126" s="78">
        <v>579090.8899999999</v>
      </c>
      <c r="O126" s="76">
        <v>252365.61</v>
      </c>
      <c r="P126" s="79">
        <f t="shared" si="33"/>
        <v>326725.27999999991</v>
      </c>
      <c r="Q126" s="76">
        <v>184815.19000000003</v>
      </c>
      <c r="R126" s="80">
        <v>6784.0600000000022</v>
      </c>
      <c r="S126" s="80">
        <v>30343.909999999996</v>
      </c>
      <c r="T126" s="81">
        <v>801034.04999999993</v>
      </c>
      <c r="U126" s="82">
        <f t="shared" si="34"/>
        <v>0</v>
      </c>
    </row>
    <row r="127" spans="2:21">
      <c r="B127" s="70" t="s">
        <v>299</v>
      </c>
      <c r="C127" s="71" t="s">
        <v>300</v>
      </c>
      <c r="D127" s="85">
        <v>45274</v>
      </c>
      <c r="E127" s="87">
        <v>1.6375</v>
      </c>
      <c r="F127" s="72">
        <f t="shared" si="25"/>
        <v>337248.96488549613</v>
      </c>
      <c r="G127" s="73">
        <f t="shared" si="26"/>
        <v>245402.96183206106</v>
      </c>
      <c r="H127" s="74">
        <f t="shared" si="27"/>
        <v>128351.40763358779</v>
      </c>
      <c r="I127" s="75">
        <f t="shared" si="28"/>
        <v>117051.55419847327</v>
      </c>
      <c r="J127" s="76">
        <f t="shared" si="29"/>
        <v>56808.567938931286</v>
      </c>
      <c r="K127" s="77">
        <f t="shared" si="30"/>
        <v>1041.4412213740459</v>
      </c>
      <c r="L127" s="77">
        <f t="shared" si="31"/>
        <v>33995.993893129773</v>
      </c>
      <c r="M127" s="72">
        <f t="shared" si="32"/>
        <v>552245.17999999993</v>
      </c>
      <c r="N127" s="78">
        <v>401847.35</v>
      </c>
      <c r="O127" s="76">
        <v>210175.43</v>
      </c>
      <c r="P127" s="79">
        <f t="shared" si="33"/>
        <v>191671.91999999998</v>
      </c>
      <c r="Q127" s="76">
        <v>93024.029999999984</v>
      </c>
      <c r="R127" s="80">
        <v>1705.36</v>
      </c>
      <c r="S127" s="80">
        <v>55668.44</v>
      </c>
      <c r="T127" s="81">
        <v>552245.18000000005</v>
      </c>
      <c r="U127" s="82">
        <f t="shared" si="34"/>
        <v>0</v>
      </c>
    </row>
    <row r="128" spans="2:21">
      <c r="B128" s="70" t="s">
        <v>301</v>
      </c>
      <c r="C128" s="71" t="s">
        <v>302</v>
      </c>
      <c r="D128" s="85">
        <v>45275</v>
      </c>
      <c r="E128" s="87">
        <v>0.84356060606060601</v>
      </c>
      <c r="F128" s="72">
        <f t="shared" si="25"/>
        <v>675655.11701841024</v>
      </c>
      <c r="G128" s="73">
        <f t="shared" si="26"/>
        <v>579279.26753480011</v>
      </c>
      <c r="H128" s="74">
        <f t="shared" si="27"/>
        <v>246346.27139649756</v>
      </c>
      <c r="I128" s="75">
        <f t="shared" si="28"/>
        <v>332932.99613830255</v>
      </c>
      <c r="J128" s="76">
        <f t="shared" si="29"/>
        <v>84765.788594521786</v>
      </c>
      <c r="K128" s="77">
        <f t="shared" si="30"/>
        <v>1680.0571171980243</v>
      </c>
      <c r="L128" s="77">
        <f t="shared" si="31"/>
        <v>9930.0037718904332</v>
      </c>
      <c r="M128" s="72">
        <f t="shared" si="32"/>
        <v>569956.0399999998</v>
      </c>
      <c r="N128" s="78">
        <v>488657.16999999993</v>
      </c>
      <c r="O128" s="76">
        <v>207808.01</v>
      </c>
      <c r="P128" s="79">
        <f t="shared" si="33"/>
        <v>280849.15999999992</v>
      </c>
      <c r="Q128" s="76">
        <v>71505.08</v>
      </c>
      <c r="R128" s="80">
        <v>1417.23</v>
      </c>
      <c r="S128" s="80">
        <v>8376.5599999999977</v>
      </c>
      <c r="T128" s="81">
        <v>569956.03999999992</v>
      </c>
      <c r="U128" s="82">
        <f t="shared" si="34"/>
        <v>0</v>
      </c>
    </row>
    <row r="129" spans="2:21">
      <c r="B129" s="70" t="s">
        <v>303</v>
      </c>
      <c r="C129" s="71" t="s">
        <v>304</v>
      </c>
      <c r="D129" s="85">
        <v>45276</v>
      </c>
      <c r="E129" s="87">
        <v>1.8856060606060601</v>
      </c>
      <c r="F129" s="72">
        <f t="shared" si="25"/>
        <v>549446.4520691043</v>
      </c>
      <c r="G129" s="73">
        <f t="shared" si="26"/>
        <v>422554.94222579361</v>
      </c>
      <c r="H129" s="74">
        <f t="shared" si="27"/>
        <v>138396.68075532344</v>
      </c>
      <c r="I129" s="75">
        <f t="shared" si="28"/>
        <v>284158.26147047017</v>
      </c>
      <c r="J129" s="76">
        <f t="shared" si="29"/>
        <v>68622.811892326252</v>
      </c>
      <c r="K129" s="77">
        <f t="shared" si="30"/>
        <v>3795.3526717557256</v>
      </c>
      <c r="L129" s="77">
        <f t="shared" si="31"/>
        <v>54473.345279228626</v>
      </c>
      <c r="M129" s="72">
        <f t="shared" si="32"/>
        <v>1036039.56</v>
      </c>
      <c r="N129" s="78">
        <v>796772.16</v>
      </c>
      <c r="O129" s="76">
        <v>260961.61999999997</v>
      </c>
      <c r="P129" s="79">
        <f t="shared" si="33"/>
        <v>535810.54</v>
      </c>
      <c r="Q129" s="76">
        <v>129395.58999999998</v>
      </c>
      <c r="R129" s="80">
        <v>7156.5399999999991</v>
      </c>
      <c r="S129" s="80">
        <v>102715.27</v>
      </c>
      <c r="T129" s="81">
        <v>1036039.56</v>
      </c>
      <c r="U129" s="82">
        <f t="shared" si="34"/>
        <v>0</v>
      </c>
    </row>
    <row r="130" spans="2:21">
      <c r="B130" s="70" t="s">
        <v>305</v>
      </c>
      <c r="C130" s="71" t="s">
        <v>306</v>
      </c>
      <c r="D130" s="85">
        <v>45278</v>
      </c>
      <c r="E130" s="87">
        <v>1.7863636363636399</v>
      </c>
      <c r="F130" s="72">
        <f t="shared" si="25"/>
        <v>1027280.9648854941</v>
      </c>
      <c r="G130" s="73">
        <f t="shared" si="26"/>
        <v>733324.0351145023</v>
      </c>
      <c r="H130" s="74">
        <f t="shared" si="27"/>
        <v>238213.43053435063</v>
      </c>
      <c r="I130" s="75">
        <f t="shared" si="28"/>
        <v>495110.60458015167</v>
      </c>
      <c r="J130" s="76">
        <f t="shared" si="29"/>
        <v>231438.8692111955</v>
      </c>
      <c r="K130" s="77">
        <f t="shared" si="30"/>
        <v>7753.9475826971866</v>
      </c>
      <c r="L130" s="77">
        <f t="shared" si="31"/>
        <v>54764.11297709911</v>
      </c>
      <c r="M130" s="72">
        <f t="shared" si="32"/>
        <v>1835097.3599999999</v>
      </c>
      <c r="N130" s="78">
        <v>1309983.3899999999</v>
      </c>
      <c r="O130" s="76">
        <v>425535.80999999994</v>
      </c>
      <c r="P130" s="79">
        <f t="shared" si="33"/>
        <v>884447.58</v>
      </c>
      <c r="Q130" s="76">
        <v>413433.98000000004</v>
      </c>
      <c r="R130" s="80">
        <v>13851.370000000003</v>
      </c>
      <c r="S130" s="80">
        <v>97828.619999999966</v>
      </c>
      <c r="T130" s="81">
        <v>1835097.3600000006</v>
      </c>
      <c r="U130" s="82">
        <f t="shared" si="34"/>
        <v>0</v>
      </c>
    </row>
    <row r="131" spans="2:21">
      <c r="B131" s="70" t="s">
        <v>307</v>
      </c>
      <c r="C131" s="71" t="s">
        <v>308</v>
      </c>
      <c r="D131" s="85">
        <v>45266</v>
      </c>
      <c r="E131" s="87">
        <v>1.5878787878787901</v>
      </c>
      <c r="F131" s="72">
        <f t="shared" si="25"/>
        <v>686433.9824427471</v>
      </c>
      <c r="G131" s="73">
        <f t="shared" si="26"/>
        <v>489759.48664122075</v>
      </c>
      <c r="H131" s="74">
        <f t="shared" si="27"/>
        <v>158466.61087786237</v>
      </c>
      <c r="I131" s="75">
        <f t="shared" si="28"/>
        <v>331292.87576335837</v>
      </c>
      <c r="J131" s="76">
        <f t="shared" si="29"/>
        <v>150500.27232824403</v>
      </c>
      <c r="K131" s="77">
        <f t="shared" si="30"/>
        <v>7885.6333969465531</v>
      </c>
      <c r="L131" s="77">
        <f t="shared" si="31"/>
        <v>38288.59007633583</v>
      </c>
      <c r="M131" s="72">
        <f t="shared" si="32"/>
        <v>1089973.96</v>
      </c>
      <c r="N131" s="78">
        <v>777678.70000000007</v>
      </c>
      <c r="O131" s="76">
        <v>251625.77</v>
      </c>
      <c r="P131" s="79">
        <f t="shared" si="33"/>
        <v>526052.93000000005</v>
      </c>
      <c r="Q131" s="76">
        <v>238976.18999999994</v>
      </c>
      <c r="R131" s="80">
        <v>12521.429999999998</v>
      </c>
      <c r="S131" s="80">
        <v>60797.640000000007</v>
      </c>
      <c r="T131" s="81">
        <v>1089973.9600000004</v>
      </c>
      <c r="U131" s="82">
        <f t="shared" si="34"/>
        <v>0</v>
      </c>
    </row>
    <row r="132" spans="2:21">
      <c r="B132" s="70" t="s">
        <v>309</v>
      </c>
      <c r="C132" s="71" t="s">
        <v>310</v>
      </c>
      <c r="D132" s="85">
        <v>45274</v>
      </c>
      <c r="E132" s="87">
        <v>1.19090909090909</v>
      </c>
      <c r="F132" s="72">
        <f t="shared" si="25"/>
        <v>917389.85648855008</v>
      </c>
      <c r="G132" s="73">
        <f t="shared" si="26"/>
        <v>719263.16335877904</v>
      </c>
      <c r="H132" s="74">
        <f t="shared" si="27"/>
        <v>364907.22366412228</v>
      </c>
      <c r="I132" s="75">
        <f t="shared" si="28"/>
        <v>354355.9396946567</v>
      </c>
      <c r="J132" s="76">
        <f t="shared" si="29"/>
        <v>166888.60763358788</v>
      </c>
      <c r="K132" s="77">
        <f t="shared" si="30"/>
        <v>9100.9045801526772</v>
      </c>
      <c r="L132" s="77">
        <f t="shared" si="31"/>
        <v>22137.180916030542</v>
      </c>
      <c r="M132" s="72">
        <f t="shared" si="32"/>
        <v>1092527.9199999997</v>
      </c>
      <c r="N132" s="78">
        <v>856577.0399999998</v>
      </c>
      <c r="O132" s="76">
        <v>434571.32999999984</v>
      </c>
      <c r="P132" s="79">
        <f t="shared" si="33"/>
        <v>422005.70999999996</v>
      </c>
      <c r="Q132" s="76">
        <v>198749.15999999997</v>
      </c>
      <c r="R132" s="80">
        <v>10838.349999999999</v>
      </c>
      <c r="S132" s="80">
        <v>26363.369999999992</v>
      </c>
      <c r="T132" s="81">
        <v>1092527.92</v>
      </c>
      <c r="U132" s="82">
        <f t="shared" si="34"/>
        <v>0</v>
      </c>
    </row>
    <row r="133" spans="2:21">
      <c r="B133" s="70" t="s">
        <v>311</v>
      </c>
      <c r="C133" s="71" t="s">
        <v>312</v>
      </c>
      <c r="D133" s="85">
        <v>45089</v>
      </c>
      <c r="E133" s="87">
        <v>1.53825757575758</v>
      </c>
      <c r="F133" s="72">
        <f t="shared" si="25"/>
        <v>1022922.8802757909</v>
      </c>
      <c r="G133" s="73">
        <f t="shared" si="26"/>
        <v>755262.21245998284</v>
      </c>
      <c r="H133" s="74">
        <f t="shared" si="27"/>
        <v>373810.97877369996</v>
      </c>
      <c r="I133" s="75">
        <f t="shared" si="28"/>
        <v>381451.23368628288</v>
      </c>
      <c r="J133" s="76">
        <f t="shared" si="29"/>
        <v>203690.52292538731</v>
      </c>
      <c r="K133" s="77">
        <f t="shared" si="30"/>
        <v>29888.310465402526</v>
      </c>
      <c r="L133" s="77">
        <f t="shared" si="31"/>
        <v>34081.834425018373</v>
      </c>
      <c r="M133" s="72">
        <f t="shared" si="32"/>
        <v>1573518.8699999994</v>
      </c>
      <c r="N133" s="78">
        <v>1161787.8199999996</v>
      </c>
      <c r="O133" s="76">
        <v>575017.56999999995</v>
      </c>
      <c r="P133" s="79">
        <f t="shared" si="33"/>
        <v>586770.24999999965</v>
      </c>
      <c r="Q133" s="76">
        <v>313328.49000000005</v>
      </c>
      <c r="R133" s="80">
        <v>45975.92</v>
      </c>
      <c r="S133" s="80">
        <v>52426.64</v>
      </c>
      <c r="T133" s="81">
        <v>1573518.8700000003</v>
      </c>
      <c r="U133" s="82">
        <f t="shared" si="34"/>
        <v>0</v>
      </c>
    </row>
    <row r="134" spans="2:21">
      <c r="B134" s="70" t="s">
        <v>313</v>
      </c>
      <c r="C134" s="71" t="s">
        <v>314</v>
      </c>
      <c r="D134" s="85">
        <v>45261</v>
      </c>
      <c r="E134" s="87">
        <v>0.79393939393939394</v>
      </c>
      <c r="F134" s="72">
        <f t="shared" si="25"/>
        <v>571927.50916030526</v>
      </c>
      <c r="G134" s="73">
        <f t="shared" si="26"/>
        <v>419978.00152671745</v>
      </c>
      <c r="H134" s="74">
        <f t="shared" si="27"/>
        <v>207113.84427480915</v>
      </c>
      <c r="I134" s="75">
        <f t="shared" si="28"/>
        <v>212864.15725190827</v>
      </c>
      <c r="J134" s="76">
        <f t="shared" si="29"/>
        <v>64493.386259541978</v>
      </c>
      <c r="K134" s="77">
        <f t="shared" si="30"/>
        <v>5162.3965648854955</v>
      </c>
      <c r="L134" s="77">
        <f t="shared" si="31"/>
        <v>82293.724809160325</v>
      </c>
      <c r="M134" s="72">
        <f t="shared" si="32"/>
        <v>454075.77999999991</v>
      </c>
      <c r="N134" s="78">
        <v>333437.0799999999</v>
      </c>
      <c r="O134" s="76">
        <v>164435.84</v>
      </c>
      <c r="P134" s="79">
        <f t="shared" si="33"/>
        <v>169001.2399999999</v>
      </c>
      <c r="Q134" s="76">
        <v>51203.839999999997</v>
      </c>
      <c r="R134" s="80">
        <v>4098.6299999999992</v>
      </c>
      <c r="S134" s="80">
        <v>65336.23000000001</v>
      </c>
      <c r="T134" s="81">
        <v>454075.77999999997</v>
      </c>
      <c r="U134" s="82">
        <f t="shared" si="34"/>
        <v>0</v>
      </c>
    </row>
    <row r="135" spans="2:21">
      <c r="B135" s="70" t="s">
        <v>315</v>
      </c>
      <c r="C135" s="71" t="s">
        <v>316</v>
      </c>
      <c r="D135" s="85">
        <v>45133</v>
      </c>
      <c r="E135" s="87">
        <v>2.7787878787878801</v>
      </c>
      <c r="F135" s="72">
        <f t="shared" si="25"/>
        <v>596109.67524536478</v>
      </c>
      <c r="G135" s="73">
        <f t="shared" si="26"/>
        <v>445686.77208287857</v>
      </c>
      <c r="H135" s="74">
        <f t="shared" si="27"/>
        <v>148906.86444929111</v>
      </c>
      <c r="I135" s="75">
        <f t="shared" si="28"/>
        <v>296779.90763358743</v>
      </c>
      <c r="J135" s="76">
        <f t="shared" si="29"/>
        <v>122755.31810250811</v>
      </c>
      <c r="K135" s="77">
        <f t="shared" si="30"/>
        <v>15925.18462377317</v>
      </c>
      <c r="L135" s="77">
        <f t="shared" si="31"/>
        <v>11742.400436205011</v>
      </c>
      <c r="M135" s="72">
        <f t="shared" si="32"/>
        <v>1656462.3399999994</v>
      </c>
      <c r="N135" s="78">
        <v>1238468.9999999995</v>
      </c>
      <c r="O135" s="76">
        <v>413780.59</v>
      </c>
      <c r="P135" s="79">
        <f t="shared" si="33"/>
        <v>824688.40999999945</v>
      </c>
      <c r="Q135" s="76">
        <v>341110.99</v>
      </c>
      <c r="R135" s="80">
        <v>44252.710000000014</v>
      </c>
      <c r="S135" s="80">
        <v>32629.640000000003</v>
      </c>
      <c r="T135" s="81">
        <v>1656462.3399999994</v>
      </c>
      <c r="U135" s="82">
        <f t="shared" si="34"/>
        <v>0</v>
      </c>
    </row>
    <row r="136" spans="2:21">
      <c r="B136" s="70" t="s">
        <v>317</v>
      </c>
      <c r="C136" s="71" t="s">
        <v>318</v>
      </c>
      <c r="D136" s="85">
        <v>45274</v>
      </c>
      <c r="E136" s="87">
        <v>0.248106060606061</v>
      </c>
      <c r="F136" s="72">
        <f t="shared" si="25"/>
        <v>547237.25679389224</v>
      </c>
      <c r="G136" s="73">
        <f t="shared" si="26"/>
        <v>374407.58106870175</v>
      </c>
      <c r="H136" s="74">
        <f t="shared" si="27"/>
        <v>199253.81862595389</v>
      </c>
      <c r="I136" s="75">
        <f t="shared" si="28"/>
        <v>175153.76244274783</v>
      </c>
      <c r="J136" s="76">
        <f t="shared" si="29"/>
        <v>55881.66595419839</v>
      </c>
      <c r="K136" s="77">
        <f t="shared" si="30"/>
        <v>1714.3877862595393</v>
      </c>
      <c r="L136" s="77">
        <f t="shared" si="31"/>
        <v>115233.62198473263</v>
      </c>
      <c r="M136" s="72">
        <f t="shared" si="32"/>
        <v>135772.88</v>
      </c>
      <c r="N136" s="78">
        <v>92892.790000000008</v>
      </c>
      <c r="O136" s="76">
        <v>49436.08</v>
      </c>
      <c r="P136" s="79">
        <f t="shared" si="33"/>
        <v>43456.710000000006</v>
      </c>
      <c r="Q136" s="76">
        <v>13864.580000000002</v>
      </c>
      <c r="R136" s="80">
        <v>425.35</v>
      </c>
      <c r="S136" s="80">
        <v>28590.159999999996</v>
      </c>
      <c r="T136" s="81">
        <v>135772.87999999998</v>
      </c>
      <c r="U136" s="82">
        <f t="shared" si="34"/>
        <v>0</v>
      </c>
    </row>
  </sheetData>
  <autoFilter ref="B13:U136" xr:uid="{7CB55BB5-3512-4B32-B215-2FF3328E1FF5}"/>
  <mergeCells count="2">
    <mergeCell ref="F12:L12"/>
    <mergeCell ref="N12:S12"/>
  </mergeCells>
  <conditionalFormatting sqref="F8 U14:U136">
    <cfRule type="expression" dxfId="1" priority="1">
      <formula>F8&lt;&gt;0</formula>
    </cfRule>
    <cfRule type="cellIs" dxfId="0" priority="2" operator="equal">
      <formula>0</formula>
    </cfRule>
  </conditionalFormatting>
  <pageMargins left="0.7" right="0.7" top="0.75" bottom="0.75" header="0.3" footer="0.3"/>
  <pageSetup orientation="portrait" r:id="rId1"/>
  <ignoredErrors>
    <ignoredError sqref="P14:P5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7FF7B-02D5-4905-B140-60CC8830934A}">
  <dimension ref="A2:C12"/>
  <sheetViews>
    <sheetView workbookViewId="0">
      <selection activeCell="C4" sqref="C4"/>
    </sheetView>
  </sheetViews>
  <sheetFormatPr defaultRowHeight="15"/>
  <cols>
    <col min="2" max="2" width="24.140625" bestFit="1" customWidth="1"/>
  </cols>
  <sheetData>
    <row r="2" spans="1:3">
      <c r="A2" s="1" t="s">
        <v>319</v>
      </c>
      <c r="B2" s="1" t="s">
        <v>320</v>
      </c>
      <c r="C2" s="2" t="s">
        <v>321</v>
      </c>
    </row>
    <row r="3" spans="1:3">
      <c r="A3" t="s">
        <v>322</v>
      </c>
      <c r="B3" t="s">
        <v>323</v>
      </c>
      <c r="C3" s="3" t="s">
        <v>55</v>
      </c>
    </row>
    <row r="4" spans="1:3">
      <c r="A4" t="s">
        <v>322</v>
      </c>
      <c r="B4" t="s">
        <v>10</v>
      </c>
      <c r="C4" s="3" t="s">
        <v>56</v>
      </c>
    </row>
    <row r="5" spans="1:3">
      <c r="A5" t="s">
        <v>322</v>
      </c>
      <c r="B5" t="s">
        <v>324</v>
      </c>
      <c r="C5" s="3" t="s">
        <v>58</v>
      </c>
    </row>
    <row r="6" spans="1:3">
      <c r="A6" t="s">
        <v>322</v>
      </c>
      <c r="B6" t="s">
        <v>59</v>
      </c>
      <c r="C6" s="3" t="str">
        <f>IF(A6="O &amp; M","O&amp;M",B6)</f>
        <v>AFUDC</v>
      </c>
    </row>
    <row r="7" spans="1:3">
      <c r="A7" t="s">
        <v>325</v>
      </c>
      <c r="B7" t="s">
        <v>326</v>
      </c>
      <c r="C7" s="3" t="str">
        <f>IF(A7="O &amp; M","O&amp;M",B7)</f>
        <v>O&amp;M</v>
      </c>
    </row>
    <row r="8" spans="1:3">
      <c r="A8" t="s">
        <v>327</v>
      </c>
      <c r="B8" t="s">
        <v>59</v>
      </c>
      <c r="C8" s="3" t="str">
        <f>IF(A8="O &amp; M","O&amp;M",B8)</f>
        <v>AFUDC</v>
      </c>
    </row>
    <row r="9" spans="1:3">
      <c r="A9" t="s">
        <v>325</v>
      </c>
      <c r="B9" t="s">
        <v>59</v>
      </c>
      <c r="C9" s="3" t="str">
        <f>IF(A9="O &amp; M","O&amp;M",B9)</f>
        <v>O&amp;M</v>
      </c>
    </row>
    <row r="10" spans="1:3">
      <c r="A10" t="s">
        <v>325</v>
      </c>
      <c r="B10" t="s">
        <v>323</v>
      </c>
      <c r="C10" s="3" t="s">
        <v>60</v>
      </c>
    </row>
    <row r="11" spans="1:3">
      <c r="A11" t="s">
        <v>325</v>
      </c>
      <c r="B11" t="s">
        <v>10</v>
      </c>
      <c r="C11" s="3" t="s">
        <v>60</v>
      </c>
    </row>
    <row r="12" spans="1:3">
      <c r="A12" t="s">
        <v>325</v>
      </c>
      <c r="B12" t="s">
        <v>324</v>
      </c>
      <c r="C12" s="3" t="s">
        <v>60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8c7dd4-7e51-4561-9313-e48b722d387b">
      <Terms xmlns="http://schemas.microsoft.com/office/infopath/2007/PartnerControls"/>
    </lcf76f155ced4ddcb4097134ff3c332f>
    <TaxCatchAll xmlns="de18837b-0a11-4028-9fd9-bf24d275bb00" xsi:nil="true"/>
    <WMPVersion xmlns="1b8c7dd4-7e51-4561-9313-e48b722d387b" xsi:nil="true"/>
    <DateReceived xmlns="1b8c7dd4-7e51-4561-9313-e48b722d387b" xsi:nil="true"/>
    <WMPvsNon_x002d_case xmlns="1b8c7dd4-7e51-4561-9313-e48b722d387b" xsi:nil="true"/>
    <YearRecieved xmlns="1b8c7dd4-7e51-4561-9313-e48b722d387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F36BC4540624EA8AAB8F44485111C" ma:contentTypeVersion="20" ma:contentTypeDescription="Create a new document." ma:contentTypeScope="" ma:versionID="4b72a3daf95704a3d8c91a1338bc556d">
  <xsd:schema xmlns:xsd="http://www.w3.org/2001/XMLSchema" xmlns:xs="http://www.w3.org/2001/XMLSchema" xmlns:p="http://schemas.microsoft.com/office/2006/metadata/properties" xmlns:ns2="1b8c7dd4-7e51-4561-9313-e48b722d387b" xmlns:ns3="de18837b-0a11-4028-9fd9-bf24d275bb00" targetNamespace="http://schemas.microsoft.com/office/2006/metadata/properties" ma:root="true" ma:fieldsID="379cf66475c9b927e652d256b523723f" ns2:_="" ns3:_="">
    <xsd:import namespace="1b8c7dd4-7e51-4561-9313-e48b722d387b"/>
    <xsd:import namespace="de18837b-0a11-4028-9fd9-bf24d275bb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WMPvsNon_x002d_case" minOccurs="0"/>
                <xsd:element ref="ns2:WMPVersion" minOccurs="0"/>
                <xsd:element ref="ns2:YearRecieved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DateReceived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c7dd4-7e51-4561-9313-e48b722d3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MPvsNon_x002d_case" ma:index="12" nillable="true" ma:displayName="Filing" ma:format="Dropdown" ma:internalName="WMPvsNon_x002d_case">
      <xsd:simpleType>
        <xsd:restriction base="dms:Choice">
          <xsd:enumeration value="WMP"/>
          <xsd:enumeration value="Non-case"/>
          <xsd:enumeration value="SVM"/>
          <xsd:enumeration value="AFN"/>
          <xsd:enumeration value="Independent Evaluator"/>
          <xsd:enumeration value="PSPS"/>
          <xsd:enumeration value="SB884"/>
        </xsd:restriction>
      </xsd:simpleType>
    </xsd:element>
    <xsd:element name="WMPVersion" ma:index="13" nillable="true" ma:displayName="WMP Version" ma:format="Dropdown" ma:internalName="WMPVersion">
      <xsd:simpleType>
        <xsd:restriction base="dms:Choice">
          <xsd:enumeration value="2025 WMP Update (2024 Filing)"/>
          <xsd:enumeration value="2023-2025 WMP"/>
          <xsd:enumeration value="2022 WMP"/>
          <xsd:enumeration value="2021 WMP"/>
          <xsd:enumeration value="2020 WMP"/>
          <xsd:enumeration value="2019 WMP"/>
        </xsd:restriction>
      </xsd:simpleType>
    </xsd:element>
    <xsd:element name="YearRecieved" ma:index="14" nillable="true" ma:displayName="Year Recieved" ma:format="Dropdown" ma:internalName="YearRecieved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Received" ma:index="24" nillable="true" ma:displayName="Date Received" ma:format="DateOnly" ma:internalName="DateReceived">
      <xsd:simpleType>
        <xsd:restriction base="dms:DateTim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8837b-0a11-4028-9fd9-bf24d275b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7c7acb-5488-4283-902a-be16ec1310d5}" ma:internalName="TaxCatchAll" ma:showField="CatchAllData" ma:web="de18837b-0a11-4028-9fd9-bf24d275bb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15232F-96C2-4494-AC04-36AC4A19DECD}"/>
</file>

<file path=customXml/itemProps2.xml><?xml version="1.0" encoding="utf-8"?>
<ds:datastoreItem xmlns:ds="http://schemas.openxmlformats.org/officeDocument/2006/customXml" ds:itemID="{52B64982-21FD-432B-9A93-C790E25BF11C}"/>
</file>

<file path=customXml/itemProps3.xml><?xml version="1.0" encoding="utf-8"?>
<ds:datastoreItem xmlns:ds="http://schemas.openxmlformats.org/officeDocument/2006/customXml" ds:itemID="{F369244E-812E-4568-B5BD-457319854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Parikh, Minal K</cp:lastModifiedBy>
  <cp:revision/>
  <dcterms:created xsi:type="dcterms:W3CDTF">2025-04-17T21:02:16Z</dcterms:created>
  <dcterms:modified xsi:type="dcterms:W3CDTF">2025-06-06T16:55:56Z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0x010100037F36BC4540624EA8AAB8F44485111C</vt:lpwstr>
  </property>
  <property fmtid="{D5CDD505-2E9C-101B-9397-08002B2CF9AE}" pid="4" name="CofWorkbookId">
    <vt:lpwstr>974c3b9e-f489-4814-a7ff-9e098342820d</vt:lpwstr>
  </property>
</Properties>
</file>