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10" documentId="8_{A5AD0029-A4CD-420A-813E-55EAC7FA05E0}" xr6:coauthVersionLast="47" xr6:coauthVersionMax="47" xr10:uidLastSave="{313F85B8-41C0-4B8E-AFE4-A74BF4461978}"/>
  <bookViews>
    <workbookView xWindow="-120" yWindow="-120" windowWidth="29040" windowHeight="15840" activeTab="1" xr2:uid="{321F3FA9-F8CE-4565-A194-CF588CE6830E}"/>
  </bookViews>
  <sheets>
    <sheet name="SUG 10YR Plan (Table 11)" sheetId="3" r:id="rId1"/>
    <sheet name="CC 10YR Plan (Table 11)" sheetId="4" r:id="rId2"/>
  </sheets>
  <externalReferences>
    <externalReference r:id="rId3"/>
  </externalReferences>
  <definedNames>
    <definedName name="\P">#REF!</definedName>
    <definedName name="CompanyColumn">#REF!</definedName>
    <definedName name="CompanyList">#REF!</definedName>
    <definedName name="CompanyStart">#REF!</definedName>
    <definedName name="_xlnm.Criteria">#REF!</definedName>
    <definedName name="FAColumn">#REF!</definedName>
    <definedName name="FAStart">#REF!</definedName>
    <definedName name="ID" localSheetId="1" hidden="1">"292b9ace-be2e-4114-81a0-c38f0c6b320c"</definedName>
    <definedName name="ID" localSheetId="0" hidden="1">"feb62711-b557-4100-8a31-97aa4875ebc2"</definedName>
    <definedName name="PRINT">#REF!</definedName>
    <definedName name="Ratio_trench_to_cable">'[1]2022 Cost Per Mile'!$F$17</definedName>
    <definedName name="rngCompany">#REF!</definedName>
    <definedName name="rngDatasheet">#REF!</definedName>
    <definedName name="rngEscalated">#REF!</definedName>
    <definedName name="rngETElecCap">#REF!</definedName>
    <definedName name="rngETElecOM">#REF!</definedName>
    <definedName name="rngFactors">#REF!</definedName>
    <definedName name="rngFactorsByCCWKGRP">#REF!</definedName>
    <definedName name="rngfrmAdjustmentsSource">#REF!</definedName>
    <definedName name="rngfrmAdjustmentsTarget">#REF!</definedName>
    <definedName name="rngLookupAdjustmentData">#REF!</definedName>
    <definedName name="rngLookupEscalation">#REF!</definedName>
    <definedName name="rngReassignmentElec">#REF!</definedName>
    <definedName name="rngReassignmentGas">#REF!</definedName>
    <definedName name="rngSegmentation">#REF!</definedName>
    <definedName name="SFAColumn">#REF!</definedName>
    <definedName name="SFAStart">#REF!</definedName>
    <definedName name="SOEColumn">#REF!</definedName>
    <definedName name="SOEStart">#REF!</definedName>
    <definedName name="test" hidden="1">{"Control_DataContact",#N/A,FALSE,"Control"}</definedName>
    <definedName name="test1" hidden="1">{"Sch.D_P_1Gas",#N/A,FALSE,"Sch.D";"Sch.D_P_2Elec",#N/A,FALSE,"Sch.D"}</definedName>
    <definedName name="test3" hidden="1">{"Sch.E_PayrollExp",#N/A,TRUE,"Sch.E,F,G,H";"Sch.F_PayrollTaxes",#N/A,TRUE,"Sch.E,F,G,H";"Sch.G_IncentComp",#N/A,TRUE,"Sch.E,F,G,H";"Sch.H_P1_EmplBeneSum",#N/A,TRUE,"Sch.E,F,G,H"}</definedName>
    <definedName name="WKGRPColumn">#REF!</definedName>
    <definedName name="WKGRPStart">#REF!</definedName>
    <definedName name="wrn.AllSummarySheets." hidden="1">{"Control_P1",#N/A,FALSE,"Control";"Control_P2",#N/A,FALSE,"Control";"Control_P3",#N/A,FALSE,"Control";"Control_P4",#N/A,FALSE,"Control";"Sch.A_CWCSummary",#N/A,FALSE,"Sch.A,B,C";"Sch.B_LLSummary",#N/A,FALSE,"Sch.A,B,C";"Sch.C_RevenueLag",#N/A,FALSE,"Sch.A,B,C";"Sch.D_P_1Gas",#N/A,FALSE,"Sch.D";"Sch.D_P_2Elec",#N/A,FALSE,"Sch.D";"Sch.E_PayrollExp",#N/A,FALSE,"Sch.E,F,G,H";"Sch.F_PayrollTaxes",#N/A,FALSE,"Sch.E,F,G,H";"Sch.G_IncentComp",#N/A,FALSE,"Sch.E,F,G,H";"Sch.H_P1_EmplBeneSum",#N/A,FALSE,"Sch.E,F,G,H";"Sch.H_P2Disability",#N/A,FALSE,"Sch.E,F,G,H";"Sch.H_P3Retirement",#N/A,FALSE,"Sch.E,F,G,H";"Sch.H_P4Life",#N/A,FALSE,"Sch.E,F,G,H";"Sch.H_P5Dental",#N/A,FALSE,"Sch.E,F,G,H";"Sch.H_P6Vision",#N/A,FALSE,"Sch.E,F,G,H";"Sch.H_P7HealthIns",#N/A,FALSE,"Sch.E,F,G,H";"Sch.H_P8HealthInsPg2",#N/A,FALSE,"Sch.E,F,G,H";"Sch.H_P9_WorkerComp",#N/A,FALSE,"Sch.E,F,G,H";"Sch.H_P10_FeesServices",#N/A,FALSE,"Sch.E,F,G,H";"Sch.H_P11FeesServicesPg2",#N/A,FALSE,"Sch.E,F,G,H";"Sch.I_P1_OtherOMSum",#N/A,FALSE,"Sch.I,J";"Sch.J_CorpChgs",#N/A,FALSE,"Sch.I,J";"Sch.K_P1_PropLease",#N/A,FALSE,"Sch.K,L,M";"Sch.K_P2_PropLease",#N/A,FALSE,"Sch.K,L,M";"Sch.L_EquipLease",#N/A,FALSE,"Sch.K,L,M";"Sch.M_P1_OtherTaxSum",#N/A,FALSE,"Sch.K,L,M";"Sch.N_IncomeTaxes",#N/A,FALSE,"Sch.N,O";"Sch.O_1_DfdTaxes",#N/A,FALSE,"Sch.N,O";"Sch.O_2_DepreProv",#N/A,FALSE,"Sch.N,O";"Sch.O_3_AmortInsur",#N/A,FALSE,"Sch.N,O";"Sch.P_1_CashBalance",#N/A,FALSE,"Sch.P";"Sch.P_2_SpecDepWorkFund",#N/A,FALSE,"Sch.P";"Sch.P_3_OtherReceiv",#N/A,FALSE,"Sch.P";"Sch.P_4_PrePayCurrAsset",#N/A,FALSE,"Sch.P";"Sch.P_5_DfdDebit",#N/A,FALSE,"Sch.P";"Sch.P_6_EmployWithhold",#N/A,FALSE,"Sch.P";"Sch.P_7_CurrLiab",#N/A,FALSE,"Sch.P";"Sch.P_8_DfdCredit",#N/A,FALSE,"Sch.P";"Sch.P_9_AccrVac",#N/A,FALSE,"Sch.P";"WP_SpecDep_WorkFund",#N/A,FALSE,"WP-BS Elem";"WP_OtherReceiv",#N/A,FALSE,"WP-BS Elem";"WP_PrePayOtherAsset",#N/A,FALSE,"WP-BS Elem";"WP_DfdDebit",#N/A,FALSE,"WP-BS Elem";"WP_EmployWithhold",#N/A,FALSE,"WP-BS Elem";"WP_Curr_AccrLiab",#N/A,FALSE,"WP-BS Elem";"WP_DfdCredit",#N/A,FALSE,"WP-BS Elem";"WP_AccrVac",#N/A,FALSE,"WP-BS Elem";"Est_Pg1",#N/A,FALSE,"Escalation";"Est_Pg2",#N/A,FALSE,"Escalation";"Est_Pg3",#N/A,FALSE,"Escalation";"Escalation,",#N/A,FALSE,"Escalation"}</definedName>
    <definedName name="wrn.BS._.Elements." hidden="1">{"WP_SpecDep_WorkFund",#N/A,FALSE,"Escalation";"WP_OtherReceiv",#N/A,FALSE,"Escalation";"WP_PrePayOtherAsset",#N/A,FALSE,"Escalation";"WP_DfdDebit",#N/A,FALSE,"Escalation";"WP_EmployWithhold",#N/A,FALSE,"Escalation";"WP_Curr_AccrLiab",#N/A,FALSE,"Escalation";"WP_DfdCredit",#N/A,FALSE,"Escalation"}</definedName>
    <definedName name="wrn.ControlSheets." hidden="1">{"Control_P1",#N/A,FALSE,"Control";"Control_P2",#N/A,FALSE,"Control";"Control_P3",#N/A,FALSE,"Control";"Control_P4",#N/A,FALSE,"Control"}</definedName>
    <definedName name="wrn.Data_Contact." hidden="1">{"Control_DataContact",#N/A,FALSE,"Control"}</definedName>
    <definedName name="wrn.Est_2003." hidden="1">{"Est_Pg1",#N/A,FALSE,"Estimate2003";"Est_Pg2",#N/A,FALSE,"Estimate2003";"Est_Pg3",#N/A,FALSE,"Estimate2003";"Escalation,",#N/A,FALSE,"Escalation"}</definedName>
    <definedName name="wrn.MyTestReport." hidden="1">{"Alberta",#N/A,FALSE,"Pivot Data";#N/A,#N/A,FALSE,"Pivot Data";"HiddenColumns",#N/A,FALSE,"Pivot Data"}</definedName>
    <definedName name="wrn.Sch.A._.B." hidden="1">{"Sch.A_CWC_Summary",#N/A,FALSE,"Sch.A,B";"Sch.B_LLSummary",#N/A,FALSE,"Sch.A,B"}</definedName>
    <definedName name="wrn.Sch.C." hidden="1">{"Sch.C_Rev_lag",#N/A,FALSE,"Sch.C"}</definedName>
    <definedName name="wrn.Sch.D." hidden="1">{"Sch.D1_GasPurch",#N/A,FALSE,"Sch.D";"Sch.D2_ElecPurch",#N/A,FALSE,"Sch.D"}</definedName>
    <definedName name="wrn.Sch.E._.F." hidden="1">{"Sch.E_PayrollExp",#N/A,TRUE,"Sch.E,F";"Sch.F_FICA",#N/A,TRUE,"Sch.E,F"}</definedName>
    <definedName name="wrn.Sch.G." hidden="1">{"Sch.G_ICP",#N/A,FALSE,"Sch.G"}</definedName>
    <definedName name="wrn.Sch.H." hidden="1">{"Sch.H_P1_EmpBenSum",#N/A,FALSE,"Sch.H";"Sch.H_P2_Disability",#N/A,FALSE,"Sch.H";"Sch.H_P3_RSP",#N/A,FALSE,"Sch.H";"Sch.H_P4_LifeIns",#N/A,FALSE,"Sch.H";"Sch.H_P5_DentalP1",#N/A,FALSE,"Sch.H";"Sch.H_P6_DentalP2",#N/A,FALSE,"Sch.H";"Sch.H_P7_HealthInsP1",#N/A,FALSE,"Sch.H";"Sch.H_P8_HealthInsP2",#N/A,FALSE,"Sch.H";"Sch.H_P9_WorkersComp",#N/A,FALSE,"Sch.H";"Sch.H_P10_BenefitFeesP1",#N/A,FALSE,"Sch.H";"Sch.H_P11_BenefitFeesP2",#N/A,FALSE,"Sch.H";"Sch.H_P12_PBOPs",#N/A,FALSE,"Sch.H";"Sch.H_P13_Pension",#N/A,FALSE,"Sch.H"}</definedName>
    <definedName name="wrn.Sch.I." hidden="1">{"Sch.I_Goods&amp;Svcs",#N/A,FALSE,"Sch.I"}</definedName>
    <definedName name="wrn.Sch.J." hidden="1">{"Sch.J_CorpChgs",#N/A,FALSE,"Sch.J"}</definedName>
    <definedName name="wrn.Sch.K." hidden="1">{"Sch.K_P1_PropLease",#N/A,FALSE,"Sch.K";"Sch.K_P2_PropLease",#N/A,FALSE,"Sch.K"}</definedName>
    <definedName name="wrn.Sch.L." hidden="1">{"Sch.L_MaterialIssue",#N/A,FALSE,"Sch.L"}</definedName>
    <definedName name="wrn.Sch.M." hidden="1">{"Sch.M_Prop&amp;FFTaxes",#N/A,FALSE,"Sch.M"}</definedName>
    <definedName name="wrn.Sch.N." hidden="1">{"Sch.N_IncTaxes",#N/A,FALSE,"Sch. N, O"}</definedName>
    <definedName name="wrn.Sch.O." hidden="1">{"Sch.O1_FedITDeferred",#N/A,FALSE,"Sch. N, O";"Sch_O2_Depreciation",#N/A,FALSE,"Sch. N, O";"Sch_O3_AmortInsurance",#N/A,FALSE,"Sch. N, O"}</definedName>
    <definedName name="wrn.Sch.P." hidden="1">{"Sch.P_BS_Bal",#N/A,FALSE,"WP-BS Elem"}</definedName>
    <definedName name="wrn.Sch.P._.Accts." hidden="1">{"Sch.P_BS_Accts",#N/A,FALSE,"WP-BS Elem"}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3" l="1"/>
  <c r="G32" i="3"/>
  <c r="E25" i="4"/>
  <c r="C18" i="4"/>
  <c r="C17" i="4"/>
  <c r="C16" i="4"/>
  <c r="E14" i="4"/>
  <c r="F28" i="4" s="1"/>
  <c r="D13" i="4"/>
  <c r="D12" i="4"/>
  <c r="F11" i="4"/>
  <c r="I5" i="4"/>
  <c r="H5" i="4"/>
  <c r="G5" i="4"/>
  <c r="F5" i="4"/>
  <c r="H34" i="3"/>
  <c r="H36" i="3" s="1"/>
  <c r="G34" i="3"/>
  <c r="F34" i="3"/>
  <c r="E34" i="3"/>
  <c r="E36" i="3" s="1"/>
  <c r="D34" i="3"/>
  <c r="I32" i="3"/>
  <c r="H32" i="3"/>
  <c r="G33" i="3" s="1"/>
  <c r="F32" i="3"/>
  <c r="E32" i="3"/>
  <c r="D32" i="3"/>
  <c r="B22" i="3"/>
  <c r="C20" i="3"/>
  <c r="D20" i="3" s="1"/>
  <c r="D43" i="3" s="1"/>
  <c r="C18" i="3"/>
  <c r="D18" i="3" s="1"/>
  <c r="E18" i="3" s="1"/>
  <c r="C16" i="3"/>
  <c r="D16" i="3" s="1"/>
  <c r="E16" i="3" s="1"/>
  <c r="F16" i="3" s="1"/>
  <c r="G16" i="3" s="1"/>
  <c r="H16" i="3" s="1"/>
  <c r="C14" i="3"/>
  <c r="D14" i="3" s="1"/>
  <c r="E14" i="3" s="1"/>
  <c r="F14" i="3" s="1"/>
  <c r="G14" i="3" s="1"/>
  <c r="H14" i="3" s="1"/>
  <c r="I14" i="3" s="1"/>
  <c r="C13" i="3"/>
  <c r="D13" i="3" s="1"/>
  <c r="E13" i="3" s="1"/>
  <c r="F13" i="3" s="1"/>
  <c r="G13" i="3" s="1"/>
  <c r="H13" i="3" s="1"/>
  <c r="I13" i="3" s="1"/>
  <c r="E11" i="3"/>
  <c r="F11" i="3" s="1"/>
  <c r="G11" i="3" s="1"/>
  <c r="H11" i="3" s="1"/>
  <c r="I11" i="3" s="1"/>
  <c r="G11" i="4" l="1"/>
  <c r="H11" i="4" s="1"/>
  <c r="E12" i="4"/>
  <c r="F26" i="4" s="1"/>
  <c r="F14" i="4"/>
  <c r="G28" i="4" s="1"/>
  <c r="F25" i="4"/>
  <c r="E41" i="3"/>
  <c r="D39" i="3"/>
  <c r="C22" i="3"/>
  <c r="H41" i="3"/>
  <c r="I16" i="3"/>
  <c r="E13" i="4"/>
  <c r="D22" i="3"/>
  <c r="E42" i="3"/>
  <c r="E40" i="3"/>
  <c r="D15" i="4"/>
  <c r="D40" i="3"/>
  <c r="D33" i="3"/>
  <c r="F41" i="3"/>
  <c r="F40" i="3"/>
  <c r="H40" i="3"/>
  <c r="D41" i="3"/>
  <c r="E33" i="3"/>
  <c r="E35" i="3" s="1"/>
  <c r="E39" i="3" s="1"/>
  <c r="F33" i="3"/>
  <c r="F39" i="3" s="1"/>
  <c r="G41" i="3"/>
  <c r="G39" i="3"/>
  <c r="G40" i="3"/>
  <c r="E20" i="3"/>
  <c r="H33" i="3"/>
  <c r="H35" i="3" s="1"/>
  <c r="H39" i="3" s="1"/>
  <c r="F12" i="4" l="1"/>
  <c r="G12" i="4" s="1"/>
  <c r="G25" i="4"/>
  <c r="G14" i="4"/>
  <c r="D45" i="3"/>
  <c r="D47" i="3" s="1"/>
  <c r="D48" i="3" s="1"/>
  <c r="D49" i="3" s="1"/>
  <c r="D16" i="4"/>
  <c r="D17" i="4"/>
  <c r="E43" i="3"/>
  <c r="E45" i="3" s="1"/>
  <c r="E47" i="3" s="1"/>
  <c r="F20" i="3"/>
  <c r="F13" i="4"/>
  <c r="F27" i="4"/>
  <c r="F29" i="4" s="1"/>
  <c r="E15" i="4"/>
  <c r="H25" i="4"/>
  <c r="I11" i="4"/>
  <c r="E22" i="3"/>
  <c r="F18" i="3"/>
  <c r="G26" i="4" l="1"/>
  <c r="D18" i="4"/>
  <c r="D24" i="4" s="1"/>
  <c r="D20" i="4"/>
  <c r="H28" i="4"/>
  <c r="H14" i="4"/>
  <c r="E48" i="3"/>
  <c r="E49" i="3" s="1"/>
  <c r="F30" i="4"/>
  <c r="F31" i="4" s="1"/>
  <c r="G13" i="4"/>
  <c r="G27" i="4"/>
  <c r="D51" i="3"/>
  <c r="D52" i="3" s="1"/>
  <c r="F43" i="3"/>
  <c r="G20" i="3"/>
  <c r="F15" i="4"/>
  <c r="H12" i="4"/>
  <c r="H26" i="4"/>
  <c r="F22" i="3"/>
  <c r="G18" i="3"/>
  <c r="F42" i="3"/>
  <c r="J11" i="4"/>
  <c r="I25" i="4"/>
  <c r="E16" i="4"/>
  <c r="E20" i="4" s="1"/>
  <c r="E22" i="4" s="1"/>
  <c r="E17" i="4"/>
  <c r="G29" i="4" l="1"/>
  <c r="G30" i="4" s="1"/>
  <c r="G31" i="4" s="1"/>
  <c r="E18" i="4"/>
  <c r="E19" i="4" s="1"/>
  <c r="D19" i="4"/>
  <c r="E24" i="4"/>
  <c r="I14" i="4"/>
  <c r="I28" i="4"/>
  <c r="F45" i="3"/>
  <c r="F47" i="3" s="1"/>
  <c r="F48" i="3" s="1"/>
  <c r="F49" i="3" s="1"/>
  <c r="H20" i="3"/>
  <c r="G43" i="3"/>
  <c r="J25" i="4"/>
  <c r="H13" i="4"/>
  <c r="H15" i="4" s="1"/>
  <c r="H27" i="4"/>
  <c r="H29" i="4" s="1"/>
  <c r="G42" i="3"/>
  <c r="G22" i="3"/>
  <c r="H18" i="3"/>
  <c r="G15" i="4"/>
  <c r="E51" i="3"/>
  <c r="E52" i="3" s="1"/>
  <c r="I12" i="4"/>
  <c r="I26" i="4"/>
  <c r="F17" i="4"/>
  <c r="F16" i="4"/>
  <c r="F20" i="4" s="1"/>
  <c r="F22" i="4" s="1"/>
  <c r="J28" i="4" l="1"/>
  <c r="J14" i="4"/>
  <c r="F18" i="4"/>
  <c r="F19" i="4" s="1"/>
  <c r="H17" i="4"/>
  <c r="H16" i="4"/>
  <c r="H20" i="4" s="1"/>
  <c r="H22" i="4" s="1"/>
  <c r="H30" i="4"/>
  <c r="H31" i="4" s="1"/>
  <c r="J12" i="4"/>
  <c r="J26" i="4"/>
  <c r="F51" i="3"/>
  <c r="F52" i="3" s="1"/>
  <c r="I20" i="3"/>
  <c r="H43" i="3"/>
  <c r="G17" i="4"/>
  <c r="G16" i="4"/>
  <c r="G45" i="3"/>
  <c r="G47" i="3" s="1"/>
  <c r="I13" i="4"/>
  <c r="I15" i="4" s="1"/>
  <c r="I27" i="4"/>
  <c r="I29" i="4" s="1"/>
  <c r="H22" i="3"/>
  <c r="I18" i="3"/>
  <c r="H42" i="3"/>
  <c r="F24" i="4" l="1"/>
  <c r="H18" i="4"/>
  <c r="H19" i="4" s="1"/>
  <c r="I30" i="4"/>
  <c r="I31" i="4" s="1"/>
  <c r="G20" i="4"/>
  <c r="G22" i="4" s="1"/>
  <c r="H45" i="3"/>
  <c r="H47" i="3" s="1"/>
  <c r="G18" i="4"/>
  <c r="G24" i="4" s="1"/>
  <c r="E29" i="4"/>
  <c r="G48" i="3"/>
  <c r="G49" i="3" s="1"/>
  <c r="I16" i="4"/>
  <c r="I17" i="4"/>
  <c r="I22" i="3"/>
  <c r="J27" i="4"/>
  <c r="J29" i="4" s="1"/>
  <c r="J13" i="4"/>
  <c r="H24" i="4" l="1"/>
  <c r="E31" i="4"/>
  <c r="J30" i="4"/>
  <c r="J31" i="4" s="1"/>
  <c r="G51" i="3"/>
  <c r="G52" i="3" s="1"/>
  <c r="H48" i="3"/>
  <c r="H49" i="3" s="1"/>
  <c r="I20" i="4"/>
  <c r="I22" i="4" s="1"/>
  <c r="I18" i="4"/>
  <c r="I24" i="4" s="1"/>
  <c r="J15" i="4"/>
  <c r="G19" i="4"/>
  <c r="H51" i="3" l="1"/>
  <c r="H52" i="3" s="1"/>
  <c r="J16" i="4"/>
  <c r="J17" i="4"/>
  <c r="J18" i="4" s="1"/>
  <c r="I19" i="4"/>
  <c r="J24" i="4" l="1"/>
  <c r="J19" i="4"/>
  <c r="J20" i="4"/>
  <c r="J22" i="4" s="1"/>
</calcChain>
</file>

<file path=xl/sharedStrings.xml><?xml version="1.0" encoding="utf-8"?>
<sst xmlns="http://schemas.openxmlformats.org/spreadsheetml/2006/main" count="77" uniqueCount="67">
  <si>
    <t>Strategic Undergrounding Capital Budget - 10yr plan - July 2024</t>
  </si>
  <si>
    <t>Construction Services</t>
  </si>
  <si>
    <t>Civil Construction Cost/Trench Mile</t>
  </si>
  <si>
    <t>Electric Construction Cost/Cable Mile</t>
  </si>
  <si>
    <t>Material</t>
  </si>
  <si>
    <t>Material Cost/Cable Mile</t>
  </si>
  <si>
    <t>Contracted Services</t>
  </si>
  <si>
    <t>Design Cost/Cable Mile</t>
  </si>
  <si>
    <t>Project Support</t>
  </si>
  <si>
    <t>Project Support + Other Misc Cost/Cable Mile</t>
  </si>
  <si>
    <t>Reduction from 2022</t>
  </si>
  <si>
    <t>Indirects</t>
  </si>
  <si>
    <t>AFUDC</t>
  </si>
  <si>
    <t>Additional Construction Miles</t>
  </si>
  <si>
    <t>Additional Engineering Miles</t>
  </si>
  <si>
    <t>Additional Non-Constr./Engr. Miles</t>
  </si>
  <si>
    <t>Construction Bonus</t>
  </si>
  <si>
    <t>Preconstruction Bonus</t>
  </si>
  <si>
    <t>Cable Miles - Electric Constructed (w/additional)</t>
  </si>
  <si>
    <t>Cable Miles - Civil Constructed (w/additional)</t>
  </si>
  <si>
    <t>Cable Miles - Designed (w/additional)</t>
  </si>
  <si>
    <t>Trench Miles - Civil Constructed (w/additional)</t>
  </si>
  <si>
    <t>Trench Miles - Designed (w/additional)</t>
  </si>
  <si>
    <t xml:space="preserve">2024
Budget Forecast
</t>
  </si>
  <si>
    <t xml:space="preserve">2025
Budget Forecast
</t>
  </si>
  <si>
    <t xml:space="preserve">2026
Budget Forecast
</t>
  </si>
  <si>
    <t xml:space="preserve">2027
Budget Forecast
</t>
  </si>
  <si>
    <t xml:space="preserve">2028
Budget Forecast
</t>
  </si>
  <si>
    <t>Construction - Civil</t>
  </si>
  <si>
    <t>Construction - Electric</t>
  </si>
  <si>
    <t>Design &amp; Engineering</t>
  </si>
  <si>
    <t>Staging Yard Improvements</t>
  </si>
  <si>
    <t>Direct Costs</t>
  </si>
  <si>
    <t>Directs Costs</t>
  </si>
  <si>
    <t>Indirect Costs (estimated)</t>
  </si>
  <si>
    <t>Direct + Indirects</t>
  </si>
  <si>
    <t>AFUDC (estimated)</t>
  </si>
  <si>
    <t>Total Budget</t>
  </si>
  <si>
    <t>ESH Overhead Hardening</t>
  </si>
  <si>
    <t>2024-2034 Cost per Mile Projection</t>
  </si>
  <si>
    <t>Forecast Period 2024-2033</t>
  </si>
  <si>
    <t>Engineering Mileage</t>
  </si>
  <si>
    <t xml:space="preserve"> </t>
  </si>
  <si>
    <t>Current Projections</t>
  </si>
  <si>
    <t>Construction Mileage</t>
  </si>
  <si>
    <t>Covered Conductor</t>
  </si>
  <si>
    <t>Escalation %</t>
  </si>
  <si>
    <t>Direct Capital Costs</t>
  </si>
  <si>
    <t>Cost Category $</t>
  </si>
  <si>
    <t>ESH Current Estimate 
(Dec 2023 PTD Act)</t>
  </si>
  <si>
    <t>Engineering/Design/PM/Scheduling/Logistics</t>
  </si>
  <si>
    <t>Construction</t>
  </si>
  <si>
    <t>Total Direct Costs</t>
  </si>
  <si>
    <t>Loaded Costs</t>
  </si>
  <si>
    <t>Total Cost pe Mile $</t>
  </si>
  <si>
    <t>Capital Cost per Mile (Excl. AFUDC &amp; O&amp;M)</t>
  </si>
  <si>
    <t>Fully Loaded Excl. AFUDC</t>
  </si>
  <si>
    <t>Capital Cost per Mile</t>
  </si>
  <si>
    <t>Total Directs</t>
  </si>
  <si>
    <t>Capital Cost Excl. AFUDC &amp; O&amp;M</t>
  </si>
  <si>
    <t>Loaded Cost percentages</t>
  </si>
  <si>
    <t>Percentage (%)</t>
  </si>
  <si>
    <t>Comments</t>
  </si>
  <si>
    <t>Indirects %</t>
  </si>
  <si>
    <t>Based off of updated Analysis of Dec 2023 PTD Actuals</t>
  </si>
  <si>
    <t>O&amp;M %</t>
  </si>
  <si>
    <t>AFUDC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</si>
</sst>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* #,##0_);_(* \(#,##0\);_(* &quot;-&quot;??_);_(@_)"/>
    <numFmt numFmtId="167" formatCode="#,##0.0"/>
    <numFmt numFmtId="168" formatCode="0.0"/>
    <numFmt numFmtId="169" formatCode="#,##0.000"/>
    <numFmt numFmtId="170" formatCode="_([$$-409]* #,##0_);_([$$-409]* \(#,##0\);_([$$-409]* &quot;-&quot;??_);_(@_)"/>
    <numFmt numFmtId="171" formatCode="_(&quot;$&quot;* #,##0_);_(&quot;$&quot;* \(#,##0\);_(&quot;$&quot;* &quot;-&quot;??_);_(@_)"/>
    <numFmt numFmtId="172" formatCode="_(* #,##0.0_);_(* \(#,##0.0\);_(* &quot;-&quot;?_);_(@_)"/>
    <numFmt numFmtId="173" formatCode="_([$$-409]* #,##0.00_);_([$$-409]* \(#,##0.00\);_([$$-409]* &quot;-&quot;??_);_(@_)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6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rgb="FF0000FF"/>
      <name val="Aptos Narrow"/>
      <family val="2"/>
      <scheme val="minor"/>
    </font>
    <font>
      <sz val="10"/>
      <color rgb="FF0000FF"/>
      <name val="Aptos Narrow"/>
      <family val="2"/>
      <scheme val="minor"/>
    </font>
    <font>
      <b/>
      <sz val="10"/>
      <color theme="9" tint="-0.499984740745262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0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0070C0"/>
      <name val="Aptos Narrow"/>
      <family val="2"/>
      <scheme val="minor"/>
    </font>
    <font>
      <sz val="10"/>
      <color theme="0" tint="-0.14999847407452621"/>
      <name val="Aptos Narrow"/>
      <family val="2"/>
      <scheme val="minor"/>
    </font>
    <font>
      <sz val="8"/>
      <color theme="0" tint="-4.9989318521683403E-2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0" tint="-0.14999847407452621"/>
      <name val="Aptos Narrow"/>
      <family val="2"/>
      <scheme val="minor"/>
    </font>
    <font>
      <sz val="1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5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u/>
      <sz val="11"/>
      <color theme="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b/>
      <u/>
      <sz val="1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B073F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0" fontId="6" fillId="2" borderId="0" xfId="2" applyFont="1" applyFill="1" applyAlignment="1">
      <alignment vertical="top"/>
    </xf>
    <xf numFmtId="0" fontId="8" fillId="2" borderId="0" xfId="2" applyFont="1" applyFill="1" applyAlignment="1">
      <alignment vertical="top"/>
    </xf>
    <xf numFmtId="0" fontId="9" fillId="2" borderId="0" xfId="2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3" borderId="0" xfId="2" applyFont="1" applyFill="1" applyAlignment="1">
      <alignment horizontal="center" vertical="top"/>
    </xf>
    <xf numFmtId="0" fontId="9" fillId="2" borderId="0" xfId="2" applyFont="1" applyFill="1" applyAlignment="1">
      <alignment vertical="top"/>
    </xf>
    <xf numFmtId="9" fontId="10" fillId="2" borderId="0" xfId="3" applyFont="1" applyFill="1" applyAlignment="1">
      <alignment horizontal="center" vertical="top"/>
    </xf>
    <xf numFmtId="164" fontId="11" fillId="2" borderId="0" xfId="3" applyNumberFormat="1" applyFont="1" applyFill="1" applyAlignment="1">
      <alignment horizontal="center" vertical="top"/>
    </xf>
    <xf numFmtId="164" fontId="11" fillId="3" borderId="0" xfId="3" applyNumberFormat="1" applyFont="1" applyFill="1" applyAlignment="1">
      <alignment horizontal="center" vertical="top"/>
    </xf>
    <xf numFmtId="0" fontId="9" fillId="4" borderId="0" xfId="2" applyFont="1" applyFill="1" applyAlignment="1">
      <alignment vertical="top"/>
    </xf>
    <xf numFmtId="165" fontId="12" fillId="4" borderId="0" xfId="3" applyNumberFormat="1" applyFont="1" applyFill="1" applyAlignment="1">
      <alignment horizontal="center" vertical="top"/>
    </xf>
    <xf numFmtId="165" fontId="6" fillId="4" borderId="0" xfId="0" applyNumberFormat="1" applyFont="1" applyFill="1" applyAlignment="1">
      <alignment horizontal="center" vertical="top"/>
    </xf>
    <xf numFmtId="165" fontId="6" fillId="3" borderId="0" xfId="0" applyNumberFormat="1" applyFont="1" applyFill="1" applyAlignment="1">
      <alignment horizontal="center" vertical="top"/>
    </xf>
    <xf numFmtId="0" fontId="13" fillId="2" borderId="0" xfId="2" applyFont="1" applyFill="1" applyAlignment="1">
      <alignment vertical="top"/>
    </xf>
    <xf numFmtId="9" fontId="1" fillId="2" borderId="0" xfId="3" applyFont="1" applyFill="1" applyAlignment="1">
      <alignment horizontal="center" vertical="top"/>
    </xf>
    <xf numFmtId="10" fontId="14" fillId="2" borderId="0" xfId="3" applyNumberFormat="1" applyFont="1" applyFill="1" applyAlignment="1">
      <alignment horizontal="center" vertical="top"/>
    </xf>
    <xf numFmtId="10" fontId="11" fillId="2" borderId="0" xfId="3" applyNumberFormat="1" applyFont="1" applyFill="1" applyAlignment="1">
      <alignment horizontal="center" vertical="top"/>
    </xf>
    <xf numFmtId="10" fontId="11" fillId="3" borderId="0" xfId="3" applyNumberFormat="1" applyFont="1" applyFill="1" applyAlignment="1">
      <alignment horizontal="center" vertical="top"/>
    </xf>
    <xf numFmtId="165" fontId="11" fillId="2" borderId="0" xfId="2" applyNumberFormat="1" applyFont="1" applyFill="1" applyAlignment="1">
      <alignment horizontal="center" vertical="top"/>
    </xf>
    <xf numFmtId="165" fontId="11" fillId="3" borderId="0" xfId="2" applyNumberFormat="1" applyFont="1" applyFill="1" applyAlignment="1">
      <alignment horizontal="center" vertical="top"/>
    </xf>
    <xf numFmtId="0" fontId="15" fillId="2" borderId="0" xfId="2" applyFont="1" applyFill="1" applyAlignment="1">
      <alignment vertical="top"/>
    </xf>
    <xf numFmtId="9" fontId="11" fillId="2" borderId="0" xfId="3" applyFont="1" applyFill="1" applyAlignment="1">
      <alignment horizontal="center" vertical="top"/>
    </xf>
    <xf numFmtId="164" fontId="8" fillId="2" borderId="0" xfId="4" applyNumberFormat="1" applyFont="1" applyFill="1" applyAlignment="1">
      <alignment horizontal="center" vertical="top"/>
    </xf>
    <xf numFmtId="0" fontId="6" fillId="3" borderId="0" xfId="2" applyFont="1" applyFill="1" applyAlignment="1">
      <alignment vertical="top"/>
    </xf>
    <xf numFmtId="164" fontId="13" fillId="2" borderId="0" xfId="3" applyNumberFormat="1" applyFont="1" applyFill="1" applyAlignment="1">
      <alignment horizontal="center" vertical="top"/>
    </xf>
    <xf numFmtId="0" fontId="13" fillId="3" borderId="0" xfId="2" applyFont="1" applyFill="1" applyAlignment="1">
      <alignment vertical="top"/>
    </xf>
    <xf numFmtId="43" fontId="6" fillId="2" borderId="0" xfId="2" applyNumberFormat="1" applyFont="1" applyFill="1" applyAlignment="1">
      <alignment vertical="top"/>
    </xf>
    <xf numFmtId="0" fontId="13" fillId="2" borderId="0" xfId="2" applyFont="1" applyFill="1" applyAlignment="1">
      <alignment horizontal="right" vertical="top"/>
    </xf>
    <xf numFmtId="166" fontId="8" fillId="3" borderId="0" xfId="5" applyNumberFormat="1" applyFont="1" applyFill="1" applyAlignment="1">
      <alignment horizontal="right" vertical="top"/>
    </xf>
    <xf numFmtId="166" fontId="8" fillId="5" borderId="0" xfId="5" applyNumberFormat="1" applyFont="1" applyFill="1" applyAlignment="1">
      <alignment horizontal="right" vertical="top"/>
    </xf>
    <xf numFmtId="0" fontId="6" fillId="2" borderId="0" xfId="2" applyFont="1" applyFill="1" applyAlignment="1">
      <alignment horizontal="center" vertical="top"/>
    </xf>
    <xf numFmtId="166" fontId="6" fillId="6" borderId="0" xfId="5" applyNumberFormat="1" applyFont="1" applyFill="1" applyAlignment="1">
      <alignment horizontal="right" vertical="top"/>
    </xf>
    <xf numFmtId="166" fontId="6" fillId="3" borderId="0" xfId="5" applyNumberFormat="1" applyFont="1" applyFill="1" applyAlignment="1">
      <alignment horizontal="right" vertical="top"/>
    </xf>
    <xf numFmtId="166" fontId="6" fillId="5" borderId="0" xfId="5" applyNumberFormat="1" applyFont="1" applyFill="1" applyAlignment="1">
      <alignment horizontal="right" vertical="top"/>
    </xf>
    <xf numFmtId="0" fontId="17" fillId="2" borderId="0" xfId="2" applyFont="1" applyFill="1" applyAlignment="1">
      <alignment horizontal="center" vertical="top"/>
    </xf>
    <xf numFmtId="0" fontId="18" fillId="2" borderId="0" xfId="2" applyFont="1" applyFill="1" applyAlignment="1">
      <alignment horizontal="right" vertical="top"/>
    </xf>
    <xf numFmtId="43" fontId="18" fillId="6" borderId="0" xfId="2" applyNumberFormat="1" applyFont="1" applyFill="1" applyAlignment="1">
      <alignment horizontal="right" vertical="top"/>
    </xf>
    <xf numFmtId="0" fontId="18" fillId="3" borderId="0" xfId="2" applyFont="1" applyFill="1" applyAlignment="1">
      <alignment horizontal="right" vertical="top"/>
    </xf>
    <xf numFmtId="1" fontId="19" fillId="2" borderId="0" xfId="2" applyNumberFormat="1" applyFont="1" applyFill="1" applyAlignment="1">
      <alignment vertical="top"/>
    </xf>
    <xf numFmtId="0" fontId="9" fillId="7" borderId="0" xfId="2" applyFont="1" applyFill="1" applyAlignment="1">
      <alignment horizontal="center" vertical="top" wrapText="1"/>
    </xf>
    <xf numFmtId="0" fontId="20" fillId="6" borderId="0" xfId="6" applyFont="1" applyFill="1" applyAlignment="1">
      <alignment horizontal="right" vertical="top" wrapText="1"/>
    </xf>
    <xf numFmtId="0" fontId="20" fillId="3" borderId="0" xfId="6" applyFont="1" applyFill="1" applyAlignment="1">
      <alignment horizontal="right" vertical="top" wrapText="1"/>
    </xf>
    <xf numFmtId="167" fontId="21" fillId="7" borderId="0" xfId="7" applyNumberFormat="1" applyFont="1" applyFill="1" applyAlignment="1">
      <alignment horizontal="center" vertical="top"/>
    </xf>
    <xf numFmtId="167" fontId="1" fillId="6" borderId="0" xfId="7" applyNumberFormat="1" applyFont="1" applyFill="1" applyBorder="1" applyAlignment="1">
      <alignment horizontal="right" vertical="top"/>
    </xf>
    <xf numFmtId="167" fontId="1" fillId="3" borderId="0" xfId="7" applyNumberFormat="1" applyFont="1" applyFill="1" applyBorder="1" applyAlignment="1">
      <alignment horizontal="right" vertical="top"/>
    </xf>
    <xf numFmtId="167" fontId="14" fillId="7" borderId="0" xfId="7" applyNumberFormat="1" applyFont="1" applyFill="1" applyAlignment="1">
      <alignment horizontal="center" vertical="top"/>
    </xf>
    <xf numFmtId="168" fontId="22" fillId="6" borderId="0" xfId="2" applyNumberFormat="1" applyFont="1" applyFill="1" applyAlignment="1">
      <alignment horizontal="right" vertical="top"/>
    </xf>
    <xf numFmtId="168" fontId="22" fillId="3" borderId="0" xfId="2" applyNumberFormat="1" applyFont="1" applyFill="1" applyAlignment="1">
      <alignment horizontal="right" vertical="top"/>
    </xf>
    <xf numFmtId="0" fontId="20" fillId="5" borderId="1" xfId="2" applyFont="1" applyFill="1" applyBorder="1" applyAlignment="1">
      <alignment vertical="top"/>
    </xf>
    <xf numFmtId="167" fontId="14" fillId="5" borderId="1" xfId="7" applyNumberFormat="1" applyFont="1" applyFill="1" applyBorder="1" applyAlignment="1">
      <alignment horizontal="center" vertical="top"/>
    </xf>
    <xf numFmtId="167" fontId="20" fillId="6" borderId="1" xfId="7" applyNumberFormat="1" applyFont="1" applyFill="1" applyBorder="1" applyAlignment="1">
      <alignment horizontal="right" vertical="top"/>
    </xf>
    <xf numFmtId="169" fontId="20" fillId="3" borderId="1" xfId="7" applyNumberFormat="1" applyFont="1" applyFill="1" applyBorder="1" applyAlignment="1">
      <alignment horizontal="right" vertical="top"/>
    </xf>
    <xf numFmtId="167" fontId="20" fillId="5" borderId="1" xfId="7" applyNumberFormat="1" applyFont="1" applyFill="1" applyBorder="1" applyAlignment="1">
      <alignment horizontal="right" vertical="top"/>
    </xf>
    <xf numFmtId="167" fontId="6" fillId="2" borderId="0" xfId="2" applyNumberFormat="1" applyFont="1" applyFill="1" applyAlignment="1">
      <alignment horizontal="center" vertical="top"/>
    </xf>
    <xf numFmtId="167" fontId="22" fillId="6" borderId="0" xfId="2" applyNumberFormat="1" applyFont="1" applyFill="1" applyAlignment="1">
      <alignment horizontal="right" vertical="top"/>
    </xf>
    <xf numFmtId="167" fontId="22" fillId="3" borderId="0" xfId="2" applyNumberFormat="1" applyFont="1" applyFill="1" applyAlignment="1">
      <alignment horizontal="right" vertical="top"/>
    </xf>
    <xf numFmtId="167" fontId="6" fillId="7" borderId="0" xfId="2" applyNumberFormat="1" applyFont="1" applyFill="1" applyAlignment="1">
      <alignment horizontal="center" vertical="top"/>
    </xf>
    <xf numFmtId="167" fontId="22" fillId="6" borderId="0" xfId="7" applyNumberFormat="1" applyFont="1" applyFill="1" applyBorder="1" applyAlignment="1">
      <alignment horizontal="right" vertical="top"/>
    </xf>
    <xf numFmtId="167" fontId="22" fillId="3" borderId="0" xfId="7" applyNumberFormat="1" applyFont="1" applyFill="1" applyBorder="1" applyAlignment="1">
      <alignment horizontal="right" vertical="top"/>
    </xf>
    <xf numFmtId="0" fontId="9" fillId="2" borderId="1" xfId="2" applyFont="1" applyFill="1" applyBorder="1" applyAlignment="1">
      <alignment vertical="top"/>
    </xf>
    <xf numFmtId="167" fontId="6" fillId="7" borderId="1" xfId="2" applyNumberFormat="1" applyFont="1" applyFill="1" applyBorder="1" applyAlignment="1">
      <alignment horizontal="center" vertical="top"/>
    </xf>
    <xf numFmtId="167" fontId="20" fillId="6" borderId="1" xfId="2" applyNumberFormat="1" applyFont="1" applyFill="1" applyBorder="1" applyAlignment="1">
      <alignment horizontal="right" vertical="top"/>
    </xf>
    <xf numFmtId="167" fontId="20" fillId="3" borderId="1" xfId="2" applyNumberFormat="1" applyFont="1" applyFill="1" applyBorder="1" applyAlignment="1">
      <alignment horizontal="right" vertical="top"/>
    </xf>
    <xf numFmtId="167" fontId="20" fillId="3" borderId="1" xfId="7" applyNumberFormat="1" applyFont="1" applyFill="1" applyBorder="1" applyAlignment="1">
      <alignment horizontal="right" vertical="top"/>
    </xf>
    <xf numFmtId="167" fontId="6" fillId="2" borderId="0" xfId="2" applyNumberFormat="1" applyFont="1" applyFill="1" applyAlignment="1">
      <alignment vertical="top"/>
    </xf>
    <xf numFmtId="0" fontId="23" fillId="0" borderId="0" xfId="8" applyFont="1"/>
    <xf numFmtId="0" fontId="24" fillId="0" borderId="0" xfId="8" applyFont="1" applyAlignment="1">
      <alignment horizontal="center"/>
    </xf>
    <xf numFmtId="171" fontId="25" fillId="3" borderId="0" xfId="1" applyNumberFormat="1" applyFont="1" applyFill="1"/>
    <xf numFmtId="0" fontId="24" fillId="0" borderId="0" xfId="8" applyFont="1"/>
    <xf numFmtId="0" fontId="26" fillId="0" borderId="0" xfId="8" applyFont="1"/>
    <xf numFmtId="0" fontId="26" fillId="0" borderId="0" xfId="8" applyFont="1" applyAlignment="1">
      <alignment horizontal="center"/>
    </xf>
    <xf numFmtId="0" fontId="1" fillId="0" borderId="0" xfId="8"/>
    <xf numFmtId="0" fontId="1" fillId="0" borderId="0" xfId="8" applyAlignment="1">
      <alignment horizontal="center"/>
    </xf>
    <xf numFmtId="172" fontId="22" fillId="3" borderId="0" xfId="8" applyNumberFormat="1" applyFont="1" applyFill="1"/>
    <xf numFmtId="0" fontId="22" fillId="3" borderId="0" xfId="8" applyFont="1" applyFill="1"/>
    <xf numFmtId="0" fontId="28" fillId="0" borderId="0" xfId="8" applyFont="1"/>
    <xf numFmtId="0" fontId="26" fillId="0" borderId="0" xfId="8" applyFont="1" applyAlignment="1">
      <alignment horizontal="left"/>
    </xf>
    <xf numFmtId="166" fontId="13" fillId="9" borderId="4" xfId="9" applyNumberFormat="1" applyFont="1" applyFill="1" applyBorder="1"/>
    <xf numFmtId="166" fontId="6" fillId="3" borderId="4" xfId="9" applyNumberFormat="1" applyFont="1" applyFill="1" applyBorder="1"/>
    <xf numFmtId="0" fontId="1" fillId="0" borderId="0" xfId="8" applyAlignment="1">
      <alignment horizontal="left"/>
    </xf>
    <xf numFmtId="0" fontId="29" fillId="3" borderId="0" xfId="8" applyFont="1" applyFill="1"/>
    <xf numFmtId="9" fontId="14" fillId="9" borderId="4" xfId="8" applyNumberFormat="1" applyFont="1" applyFill="1" applyBorder="1" applyAlignment="1">
      <alignment horizontal="right"/>
    </xf>
    <xf numFmtId="10" fontId="6" fillId="3" borderId="4" xfId="8" applyNumberFormat="1" applyFont="1" applyFill="1" applyBorder="1"/>
    <xf numFmtId="10" fontId="14" fillId="9" borderId="4" xfId="8" applyNumberFormat="1" applyFont="1" applyFill="1" applyBorder="1"/>
    <xf numFmtId="0" fontId="3" fillId="0" borderId="0" xfId="8" applyFont="1"/>
    <xf numFmtId="170" fontId="3" fillId="7" borderId="2" xfId="8" applyNumberFormat="1" applyFont="1" applyFill="1" applyBorder="1" applyAlignment="1">
      <alignment horizontal="center"/>
    </xf>
    <xf numFmtId="170" fontId="20" fillId="3" borderId="2" xfId="8" applyNumberFormat="1" applyFont="1" applyFill="1" applyBorder="1" applyAlignment="1">
      <alignment horizontal="center"/>
    </xf>
    <xf numFmtId="170" fontId="3" fillId="7" borderId="8" xfId="8" applyNumberFormat="1" applyFont="1" applyFill="1" applyBorder="1" applyAlignment="1">
      <alignment horizontal="center"/>
    </xf>
    <xf numFmtId="170" fontId="20" fillId="3" borderId="8" xfId="8" applyNumberFormat="1" applyFont="1" applyFill="1" applyBorder="1" applyAlignment="1">
      <alignment horizontal="center"/>
    </xf>
    <xf numFmtId="0" fontId="2" fillId="0" borderId="0" xfId="8" applyFont="1" applyAlignment="1">
      <alignment horizontal="center" vertical="center"/>
    </xf>
    <xf numFmtId="170" fontId="26" fillId="0" borderId="0" xfId="8" applyNumberFormat="1" applyFont="1" applyAlignment="1">
      <alignment horizontal="center"/>
    </xf>
    <xf numFmtId="170" fontId="29" fillId="3" borderId="0" xfId="8" applyNumberFormat="1" applyFont="1" applyFill="1" applyAlignment="1">
      <alignment horizontal="center"/>
    </xf>
    <xf numFmtId="0" fontId="4" fillId="2" borderId="0" xfId="8" applyFont="1" applyFill="1"/>
    <xf numFmtId="170" fontId="32" fillId="11" borderId="0" xfId="8" applyNumberFormat="1" applyFont="1" applyFill="1" applyAlignment="1">
      <alignment horizontal="left"/>
    </xf>
    <xf numFmtId="170" fontId="32" fillId="11" borderId="4" xfId="8" applyNumberFormat="1" applyFont="1" applyFill="1" applyBorder="1" applyAlignment="1">
      <alignment horizontal="center"/>
    </xf>
    <xf numFmtId="170" fontId="29" fillId="3" borderId="4" xfId="8" applyNumberFormat="1" applyFont="1" applyFill="1" applyBorder="1" applyAlignment="1">
      <alignment horizontal="center"/>
    </xf>
    <xf numFmtId="0" fontId="2" fillId="0" borderId="0" xfId="8" applyFont="1"/>
    <xf numFmtId="0" fontId="4" fillId="0" borderId="0" xfId="8" applyFont="1"/>
    <xf numFmtId="170" fontId="32" fillId="0" borderId="0" xfId="8" applyNumberFormat="1" applyFont="1" applyAlignment="1">
      <alignment horizontal="left"/>
    </xf>
    <xf numFmtId="170" fontId="32" fillId="0" borderId="0" xfId="8" applyNumberFormat="1" applyFont="1" applyAlignment="1">
      <alignment horizontal="center"/>
    </xf>
    <xf numFmtId="0" fontId="20" fillId="0" borderId="0" xfId="8" applyFont="1" applyAlignment="1">
      <alignment horizontal="center" vertical="center"/>
    </xf>
    <xf numFmtId="0" fontId="20" fillId="0" borderId="0" xfId="8" applyFont="1"/>
    <xf numFmtId="170" fontId="29" fillId="0" borderId="0" xfId="8" applyNumberFormat="1" applyFont="1" applyAlignment="1">
      <alignment horizontal="left"/>
    </xf>
    <xf numFmtId="170" fontId="29" fillId="3" borderId="0" xfId="8" applyNumberFormat="1" applyFont="1" applyFill="1" applyAlignment="1">
      <alignment horizontal="left"/>
    </xf>
    <xf numFmtId="0" fontId="22" fillId="0" borderId="0" xfId="8" applyFont="1"/>
    <xf numFmtId="0" fontId="29" fillId="0" borderId="0" xfId="8" applyFont="1" applyAlignment="1">
      <alignment horizontal="center"/>
    </xf>
    <xf numFmtId="0" fontId="29" fillId="3" borderId="0" xfId="8" applyFont="1" applyFill="1" applyAlignment="1">
      <alignment horizontal="center"/>
    </xf>
    <xf numFmtId="170" fontId="29" fillId="7" borderId="2" xfId="8" applyNumberFormat="1" applyFont="1" applyFill="1" applyBorder="1" applyAlignment="1">
      <alignment horizontal="center"/>
    </xf>
    <xf numFmtId="170" fontId="29" fillId="3" borderId="2" xfId="8" applyNumberFormat="1" applyFont="1" applyFill="1" applyBorder="1" applyAlignment="1">
      <alignment horizontal="center"/>
    </xf>
    <xf numFmtId="0" fontId="30" fillId="10" borderId="6" xfId="8" applyFont="1" applyFill="1" applyBorder="1"/>
    <xf numFmtId="0" fontId="30" fillId="10" borderId="3" xfId="8" applyFont="1" applyFill="1" applyBorder="1" applyAlignment="1">
      <alignment horizontal="right"/>
    </xf>
    <xf numFmtId="0" fontId="34" fillId="3" borderId="0" xfId="8" applyFont="1" applyFill="1"/>
    <xf numFmtId="173" fontId="22" fillId="3" borderId="0" xfId="8" applyNumberFormat="1" applyFont="1" applyFill="1"/>
    <xf numFmtId="173" fontId="1" fillId="0" borderId="0" xfId="8" applyNumberFormat="1"/>
    <xf numFmtId="0" fontId="1" fillId="0" borderId="9" xfId="8" applyBorder="1" applyAlignment="1">
      <alignment horizontal="left"/>
    </xf>
    <xf numFmtId="164" fontId="31" fillId="0" borderId="10" xfId="8" applyNumberFormat="1" applyFont="1" applyBorder="1" applyAlignment="1">
      <alignment horizontal="right"/>
    </xf>
    <xf numFmtId="164" fontId="22" fillId="0" borderId="10" xfId="11" applyNumberFormat="1" applyFont="1" applyFill="1" applyBorder="1" applyAlignment="1">
      <alignment horizontal="right"/>
    </xf>
    <xf numFmtId="0" fontId="1" fillId="0" borderId="11" xfId="8" applyBorder="1" applyAlignment="1">
      <alignment horizontal="left"/>
    </xf>
    <xf numFmtId="164" fontId="22" fillId="0" borderId="12" xfId="11" applyNumberFormat="1" applyFont="1" applyFill="1" applyBorder="1" applyAlignment="1">
      <alignment horizontal="right"/>
    </xf>
    <xf numFmtId="170" fontId="22" fillId="3" borderId="0" xfId="8" applyNumberFormat="1" applyFont="1" applyFill="1"/>
    <xf numFmtId="170" fontId="1" fillId="0" borderId="0" xfId="8" applyNumberFormat="1"/>
    <xf numFmtId="0" fontId="1" fillId="12" borderId="0" xfId="8" applyFill="1"/>
    <xf numFmtId="0" fontId="1" fillId="12" borderId="0" xfId="8" applyFill="1" applyAlignment="1">
      <alignment horizontal="center"/>
    </xf>
    <xf numFmtId="170" fontId="26" fillId="0" borderId="13" xfId="8" applyNumberFormat="1" applyFont="1" applyBorder="1" applyAlignment="1">
      <alignment horizontal="center"/>
    </xf>
    <xf numFmtId="170" fontId="29" fillId="3" borderId="13" xfId="8" applyNumberFormat="1" applyFont="1" applyFill="1" applyBorder="1" applyAlignment="1">
      <alignment horizontal="center"/>
    </xf>
    <xf numFmtId="170" fontId="33" fillId="0" borderId="14" xfId="8" applyNumberFormat="1" applyFont="1" applyBorder="1" applyAlignment="1">
      <alignment horizontal="left"/>
    </xf>
    <xf numFmtId="170" fontId="33" fillId="0" borderId="15" xfId="8" applyNumberFormat="1" applyFont="1" applyBorder="1" applyAlignment="1">
      <alignment horizontal="center"/>
    </xf>
    <xf numFmtId="170" fontId="33" fillId="3" borderId="15" xfId="8" applyNumberFormat="1" applyFont="1" applyFill="1" applyBorder="1" applyAlignment="1">
      <alignment horizontal="center"/>
    </xf>
    <xf numFmtId="170" fontId="33" fillId="0" borderId="16" xfId="8" applyNumberFormat="1" applyFont="1" applyBorder="1" applyAlignment="1">
      <alignment horizontal="center"/>
    </xf>
    <xf numFmtId="170" fontId="33" fillId="0" borderId="17" xfId="8" applyNumberFormat="1" applyFont="1" applyBorder="1" applyAlignment="1">
      <alignment horizontal="left"/>
    </xf>
    <xf numFmtId="170" fontId="33" fillId="0" borderId="0" xfId="8" applyNumberFormat="1" applyFont="1" applyAlignment="1">
      <alignment horizontal="center"/>
    </xf>
    <xf numFmtId="170" fontId="33" fillId="3" borderId="0" xfId="8" applyNumberFormat="1" applyFont="1" applyFill="1" applyAlignment="1">
      <alignment horizontal="center"/>
    </xf>
    <xf numFmtId="170" fontId="33" fillId="0" borderId="18" xfId="8" applyNumberFormat="1" applyFont="1" applyBorder="1" applyAlignment="1">
      <alignment horizontal="center"/>
    </xf>
    <xf numFmtId="170" fontId="29" fillId="7" borderId="19" xfId="8" applyNumberFormat="1" applyFont="1" applyFill="1" applyBorder="1" applyAlignment="1">
      <alignment horizontal="left"/>
    </xf>
    <xf numFmtId="170" fontId="29" fillId="7" borderId="20" xfId="8" applyNumberFormat="1" applyFont="1" applyFill="1" applyBorder="1" applyAlignment="1">
      <alignment horizontal="center"/>
    </xf>
    <xf numFmtId="170" fontId="29" fillId="0" borderId="0" xfId="8" applyNumberFormat="1" applyFont="1" applyAlignment="1">
      <alignment horizontal="center"/>
    </xf>
    <xf numFmtId="170" fontId="29" fillId="0" borderId="18" xfId="8" applyNumberFormat="1" applyFont="1" applyBorder="1" applyAlignment="1">
      <alignment horizontal="center"/>
    </xf>
    <xf numFmtId="170" fontId="32" fillId="11" borderId="21" xfId="8" applyNumberFormat="1" applyFont="1" applyFill="1" applyBorder="1" applyAlignment="1">
      <alignment horizontal="left"/>
    </xf>
    <xf numFmtId="170" fontId="32" fillId="11" borderId="22" xfId="8" applyNumberFormat="1" applyFont="1" applyFill="1" applyBorder="1" applyAlignment="1">
      <alignment horizontal="center"/>
    </xf>
    <xf numFmtId="170" fontId="29" fillId="3" borderId="22" xfId="8" applyNumberFormat="1" applyFont="1" applyFill="1" applyBorder="1" applyAlignment="1">
      <alignment horizontal="center"/>
    </xf>
    <xf numFmtId="170" fontId="32" fillId="11" borderId="23" xfId="8" applyNumberFormat="1" applyFont="1" applyFill="1" applyBorder="1" applyAlignment="1">
      <alignment horizontal="center"/>
    </xf>
    <xf numFmtId="0" fontId="26" fillId="0" borderId="24" xfId="8" applyFont="1" applyBorder="1"/>
    <xf numFmtId="170" fontId="26" fillId="0" borderId="25" xfId="8" applyNumberFormat="1" applyFont="1" applyBorder="1" applyAlignment="1">
      <alignment horizontal="center"/>
    </xf>
    <xf numFmtId="0" fontId="30" fillId="10" borderId="7" xfId="8" applyFont="1" applyFill="1" applyBorder="1" applyAlignment="1">
      <alignment vertical="center"/>
    </xf>
    <xf numFmtId="0" fontId="2" fillId="10" borderId="26" xfId="8" applyFont="1" applyFill="1" applyBorder="1" applyAlignment="1">
      <alignment horizontal="center" vertical="center"/>
    </xf>
    <xf numFmtId="0" fontId="20" fillId="3" borderId="5" xfId="8" applyFont="1" applyFill="1" applyBorder="1" applyAlignment="1">
      <alignment horizontal="center" vertical="center"/>
    </xf>
    <xf numFmtId="0" fontId="2" fillId="10" borderId="5" xfId="8" applyFont="1" applyFill="1" applyBorder="1" applyAlignment="1">
      <alignment horizontal="center" vertical="center"/>
    </xf>
    <xf numFmtId="0" fontId="1" fillId="0" borderId="14" xfId="8" applyBorder="1"/>
    <xf numFmtId="171" fontId="0" fillId="0" borderId="15" xfId="10" applyNumberFormat="1" applyFont="1" applyBorder="1" applyAlignment="1">
      <alignment horizontal="center"/>
    </xf>
    <xf numFmtId="171" fontId="22" fillId="3" borderId="15" xfId="10" applyNumberFormat="1" applyFont="1" applyFill="1" applyBorder="1" applyAlignment="1">
      <alignment horizontal="center"/>
    </xf>
    <xf numFmtId="171" fontId="0" fillId="0" borderId="16" xfId="10" applyNumberFormat="1" applyFont="1" applyBorder="1" applyAlignment="1">
      <alignment horizontal="center"/>
    </xf>
    <xf numFmtId="0" fontId="1" fillId="0" borderId="17" xfId="8" applyBorder="1"/>
    <xf numFmtId="171" fontId="0" fillId="0" borderId="0" xfId="10" applyNumberFormat="1" applyFont="1" applyBorder="1" applyAlignment="1">
      <alignment horizontal="center"/>
    </xf>
    <xf numFmtId="171" fontId="22" fillId="3" borderId="0" xfId="10" applyNumberFormat="1" applyFont="1" applyFill="1" applyBorder="1" applyAlignment="1">
      <alignment horizontal="center"/>
    </xf>
    <xf numFmtId="171" fontId="0" fillId="0" borderId="18" xfId="10" applyNumberFormat="1" applyFont="1" applyBorder="1" applyAlignment="1">
      <alignment horizontal="center"/>
    </xf>
    <xf numFmtId="0" fontId="3" fillId="7" borderId="19" xfId="8" applyFont="1" applyFill="1" applyBorder="1"/>
    <xf numFmtId="170" fontId="3" fillId="7" borderId="20" xfId="8" applyNumberFormat="1" applyFont="1" applyFill="1" applyBorder="1" applyAlignment="1">
      <alignment horizontal="center"/>
    </xf>
    <xf numFmtId="170" fontId="0" fillId="0" borderId="0" xfId="8" applyNumberFormat="1" applyFont="1" applyAlignment="1">
      <alignment horizontal="center"/>
    </xf>
    <xf numFmtId="170" fontId="1" fillId="0" borderId="0" xfId="8" applyNumberFormat="1" applyAlignment="1">
      <alignment horizontal="center"/>
    </xf>
    <xf numFmtId="170" fontId="22" fillId="3" borderId="0" xfId="8" applyNumberFormat="1" applyFont="1" applyFill="1" applyAlignment="1">
      <alignment horizontal="center"/>
    </xf>
    <xf numFmtId="170" fontId="1" fillId="0" borderId="18" xfId="8" applyNumberFormat="1" applyBorder="1" applyAlignment="1">
      <alignment horizontal="center"/>
    </xf>
    <xf numFmtId="0" fontId="3" fillId="7" borderId="27" xfId="8" applyFont="1" applyFill="1" applyBorder="1"/>
    <xf numFmtId="170" fontId="3" fillId="7" borderId="28" xfId="8" applyNumberFormat="1" applyFont="1" applyFill="1" applyBorder="1" applyAlignment="1">
      <alignment horizontal="center"/>
    </xf>
    <xf numFmtId="0" fontId="7" fillId="2" borderId="0" xfId="2" applyFont="1" applyFill="1" applyAlignment="1">
      <alignment horizontal="left" vertical="top"/>
    </xf>
    <xf numFmtId="0" fontId="27" fillId="8" borderId="2" xfId="8" applyFont="1" applyFill="1" applyBorder="1" applyAlignment="1">
      <alignment horizontal="center" vertical="center"/>
    </xf>
    <xf numFmtId="0" fontId="2" fillId="10" borderId="5" xfId="8" applyFont="1" applyFill="1" applyBorder="1" applyAlignment="1">
      <alignment horizontal="center" vertical="center" wrapText="1"/>
    </xf>
    <xf numFmtId="0" fontId="2" fillId="10" borderId="9" xfId="8" applyFont="1" applyFill="1" applyBorder="1" applyAlignment="1">
      <alignment horizontal="center" vertical="center" wrapText="1"/>
    </xf>
    <xf numFmtId="0" fontId="2" fillId="10" borderId="11" xfId="8" applyFont="1" applyFill="1" applyBorder="1" applyAlignment="1">
      <alignment horizontal="center" vertical="center" wrapText="1"/>
    </xf>
    <xf numFmtId="0" fontId="2" fillId="10" borderId="6" xfId="8" applyFont="1" applyFill="1" applyBorder="1" applyAlignment="1">
      <alignment horizontal="center" vertical="center"/>
    </xf>
  </cellXfs>
  <cellStyles count="12">
    <cellStyle name="Comma 2" xfId="5" xr:uid="{8A7DAF81-D3C5-4C90-B708-BE6FDE83056C}"/>
    <cellStyle name="Comma 2 2" xfId="7" xr:uid="{EE0C7803-25E7-4203-8504-B08CA0F2AE78}"/>
    <cellStyle name="Comma 7" xfId="9" xr:uid="{75CA8D87-AFF8-4F27-B9C9-74882DC3ECCD}"/>
    <cellStyle name="Currency" xfId="1" builtinId="4"/>
    <cellStyle name="Currency 7" xfId="10" xr:uid="{23015A08-26A9-4E8B-9945-E8C1F1680058}"/>
    <cellStyle name="Normal" xfId="0" builtinId="0"/>
    <cellStyle name="Normal 13" xfId="8" xr:uid="{4D190C6A-1775-4F72-A177-950FB176AE38}"/>
    <cellStyle name="Normal 2 2 2" xfId="2" xr:uid="{6EFAB0A1-7D8F-45EF-B55C-F98BCDC533F6}"/>
    <cellStyle name="Normal 3" xfId="6" xr:uid="{CC79C2CB-DACE-40D1-A15F-4DE4D13373A7}"/>
    <cellStyle name="Percent 2 2" xfId="3" xr:uid="{209C0ABE-3DF1-404C-AB9D-0AA121C96A61}"/>
    <cellStyle name="Percent 3" xfId="4" xr:uid="{CB0BCD93-EFA2-4342-8A65-273E2858E44F}"/>
    <cellStyle name="Percent 6" xfId="11" xr:uid="{B4048D98-C073-4CAB-83F4-9C97C7CC9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232410</xdr:colOff>
      <xdr:row>41</xdr:row>
      <xdr:rowOff>0</xdr:rowOff>
    </xdr:from>
    <xdr:to>
      <xdr:col>3</xdr:col>
      <xdr:colOff>3244876</xdr:colOff>
      <xdr:row>41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E76356-27D2-47FA-AAA2-E538AA415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410" y="18202276"/>
          <a:ext cx="7934986" cy="4583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sempra.sharepoint.com/teams/elecopsassetmgmt/Shared%20Documents/1.%20ET&amp;D%20Capital/1.%20REPORTING/5.%20Other/Tim%20Knowd%20Projects/2024/07-2024%20(Q3%20Outlook%20-%2010%20Year%20Plan)/SUG/10%20Year%20Capital%20Budget%20Plan_20240715_AECOM.xlsx" TargetMode="External"/><Relationship Id="rId2" Type="http://schemas.microsoft.com/office/2019/04/relationships/externalLinkLongPath" Target="/teams/elecopsassetmgmt/Shared%20Documents/1.%20ET&amp;D%20Capital/1.%20REPORTING/5.%20Other/Tim%20Knowd%20Projects/2024/07-2024%20(Q3%20Outlook%20-%2010%20Year%20Plan)/SUG/10%20Year%20Capital%20Budget%20Plan_20240715_AECOM.xlsx?B10EF740" TargetMode="External"/><Relationship Id="rId1" Type="http://schemas.openxmlformats.org/officeDocument/2006/relationships/externalLinkPath" Target="file:///\\B10EF740\10%20Year%20Capital%20Budget%20Plan_20240715_AEC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apital Budget - 10yr Plan"/>
      <sheetName val="TM1 Upload"/>
      <sheetName val="2022 Cost Per Mile"/>
      <sheetName val="Escalation Factors"/>
    </sheetNames>
    <sheetDataSet>
      <sheetData sheetId="0"/>
      <sheetData sheetId="1"/>
      <sheetData sheetId="2">
        <row r="17">
          <cell r="F17">
            <v>0.75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8E8AE-8BED-401E-A910-252BEC26CB0F}">
  <sheetPr>
    <tabColor theme="7" tint="-0.249977111117893"/>
  </sheetPr>
  <dimension ref="A1:J54"/>
  <sheetViews>
    <sheetView showGridLines="0" workbookViewId="0">
      <pane xSplit="1" ySplit="12" topLeftCell="B13" activePane="bottomRight" state="frozen"/>
      <selection pane="topRight" activeCell="I29" sqref="I29"/>
      <selection pane="bottomLeft" activeCell="I29" sqref="I29"/>
      <selection pane="bottomRight" activeCell="B13" sqref="B13"/>
    </sheetView>
  </sheetViews>
  <sheetFormatPr defaultColWidth="9.28515625" defaultRowHeight="13.5" outlineLevelRow="1" outlineLevelCol="2" x14ac:dyDescent="0.25"/>
  <cols>
    <col min="1" max="1" width="39.5703125" style="1" customWidth="1"/>
    <col min="2" max="2" width="12.7109375" style="1" customWidth="1"/>
    <col min="3" max="3" width="12.28515625" style="1" customWidth="1"/>
    <col min="4" max="4" width="14.28515625" style="1" customWidth="1"/>
    <col min="5" max="7" width="16.7109375" style="1" customWidth="1"/>
    <col min="8" max="8" width="16.7109375" style="1" customWidth="1" outlineLevel="1"/>
    <col min="9" max="9" width="16.7109375" style="1" customWidth="1" outlineLevel="2"/>
    <col min="10" max="11" width="9.28515625" style="1"/>
    <col min="12" max="12" width="9.5703125" style="1" bestFit="1" customWidth="1"/>
    <col min="13" max="16384" width="9.28515625" style="1"/>
  </cols>
  <sheetData>
    <row r="1" spans="1:10" hidden="1" x14ac:dyDescent="0.25"/>
    <row r="2" spans="1:10" hidden="1" x14ac:dyDescent="0.25"/>
    <row r="3" spans="1:10" hidden="1" x14ac:dyDescent="0.25"/>
    <row r="4" spans="1:10" hidden="1" x14ac:dyDescent="0.25"/>
    <row r="5" spans="1:10" hidden="1" x14ac:dyDescent="0.25"/>
    <row r="6" spans="1:10" hidden="1" x14ac:dyDescent="0.25"/>
    <row r="7" spans="1:10" hidden="1" x14ac:dyDescent="0.25"/>
    <row r="8" spans="1:10" ht="21" x14ac:dyDescent="0.25">
      <c r="A8" s="164" t="s">
        <v>0</v>
      </c>
      <c r="B8" s="164"/>
      <c r="C8" s="164"/>
      <c r="D8" s="164"/>
      <c r="E8" s="164"/>
      <c r="F8" s="164"/>
      <c r="G8" s="164"/>
    </row>
    <row r="9" spans="1:10" x14ac:dyDescent="0.25">
      <c r="A9" s="2"/>
    </row>
    <row r="11" spans="1:10" x14ac:dyDescent="0.25">
      <c r="B11" s="3">
        <v>2022</v>
      </c>
      <c r="C11" s="4">
        <v>2023</v>
      </c>
      <c r="D11" s="4">
        <v>2024</v>
      </c>
      <c r="E11" s="4">
        <f t="shared" ref="E11:I11" si="0">D11+1</f>
        <v>2025</v>
      </c>
      <c r="F11" s="5">
        <f t="shared" si="0"/>
        <v>2026</v>
      </c>
      <c r="G11" s="5">
        <f t="shared" si="0"/>
        <v>2027</v>
      </c>
      <c r="H11" s="5">
        <f t="shared" si="0"/>
        <v>2028</v>
      </c>
      <c r="I11" s="4">
        <f t="shared" si="0"/>
        <v>2029</v>
      </c>
    </row>
    <row r="12" spans="1:10" ht="15" outlineLevel="1" x14ac:dyDescent="0.25">
      <c r="A12" s="6" t="s">
        <v>1</v>
      </c>
      <c r="B12" s="7"/>
      <c r="C12" s="8">
        <v>0.10441331452779923</v>
      </c>
      <c r="D12" s="8">
        <v>0.05</v>
      </c>
      <c r="E12" s="8">
        <v>0.05</v>
      </c>
      <c r="F12" s="9">
        <v>0.05</v>
      </c>
      <c r="G12" s="9">
        <v>0.05</v>
      </c>
      <c r="H12" s="9">
        <v>0.03</v>
      </c>
      <c r="I12" s="8">
        <v>0.03</v>
      </c>
    </row>
    <row r="13" spans="1:10" outlineLevel="1" x14ac:dyDescent="0.25">
      <c r="A13" s="10" t="s">
        <v>2</v>
      </c>
      <c r="B13" s="11">
        <v>962410.47680046398</v>
      </c>
      <c r="C13" s="12">
        <f>B13*(1+C12-C21)</f>
        <v>1062898.9446194801</v>
      </c>
      <c r="D13" s="12">
        <f>C13*(1+D12-D21)</f>
        <v>1102757.6550427107</v>
      </c>
      <c r="E13" s="12">
        <f t="shared" ref="E13:I13" si="1">D13*(1+E12-E21)</f>
        <v>1133083.4905563854</v>
      </c>
      <c r="F13" s="13">
        <f t="shared" si="1"/>
        <v>1161410.5778202952</v>
      </c>
      <c r="G13" s="13">
        <f t="shared" si="1"/>
        <v>1207867.000933107</v>
      </c>
      <c r="H13" s="13">
        <f t="shared" si="1"/>
        <v>1232024.3409517691</v>
      </c>
      <c r="I13" s="12">
        <f t="shared" si="1"/>
        <v>1262824.9494755636</v>
      </c>
      <c r="J13" s="14"/>
    </row>
    <row r="14" spans="1:10" outlineLevel="1" x14ac:dyDescent="0.25">
      <c r="A14" s="10" t="s">
        <v>3</v>
      </c>
      <c r="B14" s="11">
        <v>75980.350569017421</v>
      </c>
      <c r="C14" s="12">
        <f t="shared" ref="C14:I14" si="2">B14*(1+C12-C21)</f>
        <v>83913.710810912686</v>
      </c>
      <c r="D14" s="12">
        <f t="shared" si="2"/>
        <v>87060.474966321912</v>
      </c>
      <c r="E14" s="12">
        <f t="shared" si="2"/>
        <v>89454.638027895766</v>
      </c>
      <c r="F14" s="13">
        <f t="shared" si="2"/>
        <v>91691.003978593173</v>
      </c>
      <c r="G14" s="13">
        <f t="shared" si="2"/>
        <v>95358.644137736905</v>
      </c>
      <c r="H14" s="13">
        <f t="shared" si="2"/>
        <v>97265.817020491639</v>
      </c>
      <c r="I14" s="12">
        <f t="shared" si="2"/>
        <v>99697.462446003949</v>
      </c>
      <c r="J14" s="14"/>
    </row>
    <row r="15" spans="1:10" ht="15" outlineLevel="1" x14ac:dyDescent="0.25">
      <c r="A15" s="6" t="s">
        <v>4</v>
      </c>
      <c r="B15" s="7"/>
      <c r="C15" s="8">
        <v>3.9735099337748325E-2</v>
      </c>
      <c r="D15" s="8">
        <v>0.03</v>
      </c>
      <c r="E15" s="8">
        <v>0.03</v>
      </c>
      <c r="F15" s="9">
        <v>0.03</v>
      </c>
      <c r="G15" s="9">
        <v>0.03</v>
      </c>
      <c r="H15" s="9">
        <v>0.03</v>
      </c>
      <c r="I15" s="8">
        <v>0.03</v>
      </c>
      <c r="J15" s="14"/>
    </row>
    <row r="16" spans="1:10" outlineLevel="1" x14ac:dyDescent="0.25">
      <c r="A16" s="10" t="s">
        <v>5</v>
      </c>
      <c r="B16" s="11">
        <v>95314.807896165104</v>
      </c>
      <c r="C16" s="12">
        <f t="shared" ref="C16:I16" si="3">B16*(1+C15-C21)</f>
        <v>99102.151256277619</v>
      </c>
      <c r="D16" s="12">
        <f t="shared" si="3"/>
        <v>100836.43890326249</v>
      </c>
      <c r="E16" s="12">
        <f t="shared" si="3"/>
        <v>101592.71219503696</v>
      </c>
      <c r="F16" s="13">
        <f t="shared" si="3"/>
        <v>102100.67575601216</v>
      </c>
      <c r="G16" s="13">
        <f t="shared" si="3"/>
        <v>104142.6892711324</v>
      </c>
      <c r="H16" s="13">
        <f t="shared" si="3"/>
        <v>106225.54305655505</v>
      </c>
      <c r="I16" s="12">
        <f t="shared" si="3"/>
        <v>108881.18163296893</v>
      </c>
      <c r="J16" s="14"/>
    </row>
    <row r="17" spans="1:10" ht="15" outlineLevel="1" x14ac:dyDescent="0.25">
      <c r="A17" s="6" t="s">
        <v>6</v>
      </c>
      <c r="B17" s="15"/>
      <c r="C17" s="8">
        <v>3.9735099337748325E-2</v>
      </c>
      <c r="D17" s="8">
        <v>0.05</v>
      </c>
      <c r="E17" s="8">
        <v>0.05</v>
      </c>
      <c r="F17" s="9">
        <v>0.05</v>
      </c>
      <c r="G17" s="9">
        <v>0.05</v>
      </c>
      <c r="H17" s="9">
        <v>0.03</v>
      </c>
      <c r="I17" s="8">
        <v>0.03</v>
      </c>
      <c r="J17" s="14"/>
    </row>
    <row r="18" spans="1:10" outlineLevel="1" x14ac:dyDescent="0.25">
      <c r="A18" s="10" t="s">
        <v>7</v>
      </c>
      <c r="B18" s="11">
        <v>468907.6103914936</v>
      </c>
      <c r="C18" s="12">
        <f t="shared" ref="C18:I18" si="4">B18*(1+C17-C21)</f>
        <v>487539.70087062579</v>
      </c>
      <c r="D18" s="12">
        <f t="shared" si="4"/>
        <v>505822.43965327431</v>
      </c>
      <c r="E18" s="12">
        <f>D18*(1+E17-E21)</f>
        <v>519732.55674373941</v>
      </c>
      <c r="F18" s="13">
        <f t="shared" si="4"/>
        <v>532725.87066233298</v>
      </c>
      <c r="G18" s="13">
        <f t="shared" si="4"/>
        <v>554034.90548882633</v>
      </c>
      <c r="H18" s="13">
        <f t="shared" si="4"/>
        <v>565115.60359860281</v>
      </c>
      <c r="I18" s="12">
        <f t="shared" si="4"/>
        <v>579243.49368856801</v>
      </c>
      <c r="J18" s="14"/>
    </row>
    <row r="19" spans="1:10" ht="15" outlineLevel="1" x14ac:dyDescent="0.25">
      <c r="A19" s="6" t="s">
        <v>8</v>
      </c>
      <c r="B19" s="15"/>
      <c r="C19" s="8">
        <v>3.9735099337748325E-2</v>
      </c>
      <c r="D19" s="8">
        <v>0.03</v>
      </c>
      <c r="E19" s="8">
        <v>0.03</v>
      </c>
      <c r="F19" s="9">
        <v>0.03</v>
      </c>
      <c r="G19" s="9">
        <v>0.03</v>
      </c>
      <c r="H19" s="9">
        <v>0.03</v>
      </c>
      <c r="I19" s="8">
        <v>0.03</v>
      </c>
      <c r="J19" s="14"/>
    </row>
    <row r="20" spans="1:10" outlineLevel="1" x14ac:dyDescent="0.25">
      <c r="A20" s="10" t="s">
        <v>9</v>
      </c>
      <c r="B20" s="11">
        <v>612859.6645526163</v>
      </c>
      <c r="C20" s="12">
        <f>B20*(1+C19)</f>
        <v>637211.70420371369</v>
      </c>
      <c r="D20" s="12">
        <f t="shared" ref="D20:I20" si="5">C20*(1+D19)</f>
        <v>656328.05532982515</v>
      </c>
      <c r="E20" s="12">
        <f t="shared" si="5"/>
        <v>676017.89698971994</v>
      </c>
      <c r="F20" s="13">
        <f t="shared" si="5"/>
        <v>696298.43389941158</v>
      </c>
      <c r="G20" s="13">
        <f t="shared" si="5"/>
        <v>717187.386916394</v>
      </c>
      <c r="H20" s="13">
        <f t="shared" si="5"/>
        <v>738703.00852388586</v>
      </c>
      <c r="I20" s="12">
        <f t="shared" si="5"/>
        <v>760864.09877960244</v>
      </c>
      <c r="J20" s="14"/>
    </row>
    <row r="21" spans="1:10" outlineLevel="1" x14ac:dyDescent="0.25">
      <c r="A21" s="6" t="s">
        <v>10</v>
      </c>
      <c r="B21" s="16">
        <v>4.9700000000000001E-2</v>
      </c>
      <c r="C21" s="17">
        <v>0</v>
      </c>
      <c r="D21" s="17">
        <v>1.2500000000000001E-2</v>
      </c>
      <c r="E21" s="17">
        <v>2.2499999999999999E-2</v>
      </c>
      <c r="F21" s="18">
        <v>2.5000000000000001E-2</v>
      </c>
      <c r="G21" s="18">
        <v>0.01</v>
      </c>
      <c r="H21" s="18">
        <v>0.01</v>
      </c>
      <c r="I21" s="17">
        <v>5.0000000000000001E-3</v>
      </c>
    </row>
    <row r="22" spans="1:10" outlineLevel="1" x14ac:dyDescent="0.25">
      <c r="B22" s="19">
        <f t="shared" ref="B22:I22" si="6">SUM(B18,B16,B13,B14,B20:B20)</f>
        <v>2215472.9102097563</v>
      </c>
      <c r="C22" s="19">
        <f t="shared" si="6"/>
        <v>2370666.2117610099</v>
      </c>
      <c r="D22" s="19">
        <f t="shared" si="6"/>
        <v>2452805.0638953946</v>
      </c>
      <c r="E22" s="19">
        <f t="shared" si="6"/>
        <v>2519881.2945127776</v>
      </c>
      <c r="F22" s="20">
        <f t="shared" si="6"/>
        <v>2584226.5621166453</v>
      </c>
      <c r="G22" s="20">
        <f t="shared" si="6"/>
        <v>2678590.6267471965</v>
      </c>
      <c r="H22" s="20">
        <f t="shared" si="6"/>
        <v>2739334.3131513046</v>
      </c>
      <c r="I22" s="19">
        <f t="shared" si="6"/>
        <v>2811511.1860227073</v>
      </c>
    </row>
    <row r="23" spans="1:10" outlineLevel="1" x14ac:dyDescent="0.25">
      <c r="A23" s="21" t="s">
        <v>11</v>
      </c>
      <c r="B23" s="22">
        <v>0.05</v>
      </c>
      <c r="C23" s="23"/>
      <c r="D23" s="23"/>
      <c r="E23" s="23"/>
      <c r="F23" s="24"/>
      <c r="G23" s="24"/>
      <c r="H23" s="24"/>
    </row>
    <row r="24" spans="1:10" outlineLevel="1" x14ac:dyDescent="0.25">
      <c r="A24" s="21" t="s">
        <v>12</v>
      </c>
      <c r="B24" s="22">
        <v>0.04</v>
      </c>
      <c r="C24" s="25"/>
      <c r="D24" s="25"/>
      <c r="E24" s="25"/>
      <c r="F24" s="26"/>
      <c r="G24" s="26"/>
      <c r="H24" s="26"/>
    </row>
    <row r="25" spans="1:10" outlineLevel="1" x14ac:dyDescent="0.25">
      <c r="A25" s="21" t="s">
        <v>13</v>
      </c>
      <c r="B25" s="8">
        <v>0.15</v>
      </c>
      <c r="C25" s="25"/>
      <c r="D25" s="25"/>
      <c r="E25" s="25"/>
      <c r="F25" s="24"/>
      <c r="G25" s="24"/>
      <c r="H25" s="24"/>
    </row>
    <row r="26" spans="1:10" outlineLevel="1" x14ac:dyDescent="0.25">
      <c r="A26" s="21" t="s">
        <v>14</v>
      </c>
      <c r="B26" s="8">
        <v>0.1</v>
      </c>
      <c r="C26" s="25"/>
      <c r="D26" s="25"/>
      <c r="E26" s="25"/>
      <c r="F26" s="24"/>
      <c r="G26" s="24"/>
      <c r="H26" s="24"/>
    </row>
    <row r="27" spans="1:10" outlineLevel="1" x14ac:dyDescent="0.25">
      <c r="A27" s="21" t="s">
        <v>15</v>
      </c>
      <c r="B27" s="8">
        <v>0</v>
      </c>
      <c r="C27" s="25"/>
      <c r="D27" s="25"/>
      <c r="E27" s="25"/>
      <c r="F27" s="24"/>
      <c r="G27" s="24"/>
      <c r="H27" s="24"/>
      <c r="J27" s="14"/>
    </row>
    <row r="28" spans="1:10" outlineLevel="1" x14ac:dyDescent="0.25">
      <c r="A28" s="21" t="s">
        <v>16</v>
      </c>
      <c r="B28" s="8">
        <v>0</v>
      </c>
      <c r="C28" s="25"/>
      <c r="D28" s="25"/>
      <c r="E28" s="25"/>
      <c r="F28" s="24"/>
      <c r="G28" s="24"/>
      <c r="H28" s="24"/>
    </row>
    <row r="29" spans="1:10" outlineLevel="1" x14ac:dyDescent="0.25">
      <c r="A29" s="21" t="s">
        <v>17</v>
      </c>
      <c r="B29" s="8">
        <v>0</v>
      </c>
      <c r="C29" s="25"/>
      <c r="D29" s="25"/>
      <c r="E29" s="25"/>
      <c r="F29" s="24"/>
      <c r="G29" s="24"/>
      <c r="H29" s="24"/>
    </row>
    <row r="30" spans="1:10" x14ac:dyDescent="0.25">
      <c r="D30" s="27"/>
      <c r="E30" s="27"/>
      <c r="F30" s="24"/>
      <c r="G30" s="24"/>
      <c r="H30" s="24"/>
    </row>
    <row r="31" spans="1:10" s="14" customFormat="1" x14ac:dyDescent="0.25">
      <c r="A31" s="21" t="s">
        <v>11</v>
      </c>
      <c r="B31" s="28"/>
      <c r="D31" s="29">
        <v>112</v>
      </c>
      <c r="E31" s="29">
        <v>28</v>
      </c>
      <c r="F31" s="29">
        <v>0</v>
      </c>
      <c r="G31" s="29">
        <v>0</v>
      </c>
      <c r="H31" s="29">
        <v>50</v>
      </c>
      <c r="I31" s="30">
        <v>60</v>
      </c>
    </row>
    <row r="32" spans="1:10" x14ac:dyDescent="0.25">
      <c r="A32" s="1" t="s">
        <v>18</v>
      </c>
      <c r="B32" s="31"/>
      <c r="D32" s="32">
        <f>D31*(1+$B$25)</f>
        <v>128.79999999999998</v>
      </c>
      <c r="E32" s="32">
        <f>E31*(1+$B$25)</f>
        <v>32.199999999999996</v>
      </c>
      <c r="F32" s="33">
        <f>F31*(1+$B$25)</f>
        <v>0</v>
      </c>
      <c r="G32" s="33">
        <f>G31*(1+$B$25)</f>
        <v>0</v>
      </c>
      <c r="H32" s="33">
        <f t="shared" ref="H32:I32" si="7">H31*(1+$B$25*20%)</f>
        <v>51.5</v>
      </c>
      <c r="I32" s="34">
        <f t="shared" si="7"/>
        <v>61.800000000000004</v>
      </c>
      <c r="J32" s="14"/>
    </row>
    <row r="33" spans="1:10" ht="15" x14ac:dyDescent="0.25">
      <c r="A33" s="1" t="s">
        <v>19</v>
      </c>
      <c r="D33" s="32">
        <f t="shared" ref="D33:H33" si="8">D32*75%+E32*25%</f>
        <v>104.64999999999999</v>
      </c>
      <c r="E33" s="32">
        <f t="shared" si="8"/>
        <v>24.15</v>
      </c>
      <c r="F33" s="33">
        <f>F32*75%+G32*25%</f>
        <v>0</v>
      </c>
      <c r="G33" s="33">
        <f>G32*75%+H32*25%</f>
        <v>12.875</v>
      </c>
      <c r="H33" s="33">
        <f t="shared" si="8"/>
        <v>54.075000000000003</v>
      </c>
      <c r="I33"/>
      <c r="J33" s="14"/>
    </row>
    <row r="34" spans="1:10" ht="15" x14ac:dyDescent="0.25">
      <c r="A34" s="1" t="s">
        <v>20</v>
      </c>
      <c r="C34" s="28"/>
      <c r="D34" s="32">
        <f>(D31*50%+E31*50%)  *  (1+$B$26)</f>
        <v>77</v>
      </c>
      <c r="E34" s="32">
        <f>(E31*50%+F31*50%)  *  (1+$B$26)</f>
        <v>15.400000000000002</v>
      </c>
      <c r="F34" s="33">
        <f>(F31*50%+G31*50%)  *  (1+$B$26)</f>
        <v>0</v>
      </c>
      <c r="G34" s="33">
        <f>(G31*50%+H31*50%)  *  (1+$B$26)</f>
        <v>27.500000000000004</v>
      </c>
      <c r="H34" s="33">
        <f t="shared" ref="H34" si="9">(H31*50%+I31*50%)  *  (1+$B$26*20%)</f>
        <v>56.1</v>
      </c>
      <c r="I34"/>
      <c r="J34" s="14"/>
    </row>
    <row r="35" spans="1:10" ht="15" x14ac:dyDescent="0.25">
      <c r="A35" s="1" t="s">
        <v>21</v>
      </c>
      <c r="D35" s="32">
        <v>106.734375</v>
      </c>
      <c r="E35" s="32">
        <f t="shared" ref="E35:H36" si="10">E33*Ratio_trench_to_cable</f>
        <v>18.112499999999997</v>
      </c>
      <c r="F35" s="33">
        <v>0</v>
      </c>
      <c r="G35" s="33">
        <v>9.65625</v>
      </c>
      <c r="H35" s="33">
        <f t="shared" si="10"/>
        <v>40.556250000000006</v>
      </c>
      <c r="I35"/>
      <c r="J35" s="14"/>
    </row>
    <row r="36" spans="1:10" ht="15" x14ac:dyDescent="0.25">
      <c r="A36" s="1" t="s">
        <v>22</v>
      </c>
      <c r="D36" s="32">
        <v>109.3125</v>
      </c>
      <c r="E36" s="32">
        <f t="shared" si="10"/>
        <v>11.55</v>
      </c>
      <c r="F36" s="33">
        <v>0</v>
      </c>
      <c r="G36" s="33">
        <v>20.625000000000004</v>
      </c>
      <c r="H36" s="33">
        <f t="shared" si="10"/>
        <v>42.075000000000003</v>
      </c>
      <c r="I36"/>
      <c r="J36" s="14"/>
    </row>
    <row r="37" spans="1:10" ht="15" x14ac:dyDescent="0.25">
      <c r="B37" s="35"/>
      <c r="C37" s="36"/>
      <c r="D37" s="37"/>
      <c r="E37" s="37"/>
      <c r="F37" s="38"/>
      <c r="G37" s="38"/>
      <c r="H37" s="38"/>
      <c r="I37"/>
      <c r="J37" s="39"/>
    </row>
    <row r="38" spans="1:10" ht="60" x14ac:dyDescent="0.25">
      <c r="B38" s="40"/>
      <c r="C38" s="40"/>
      <c r="D38" s="41" t="s">
        <v>23</v>
      </c>
      <c r="E38" s="41" t="s">
        <v>24</v>
      </c>
      <c r="F38" s="42" t="s">
        <v>25</v>
      </c>
      <c r="G38" s="42" t="s">
        <v>26</v>
      </c>
      <c r="H38" s="42" t="s">
        <v>27</v>
      </c>
      <c r="I38"/>
    </row>
    <row r="39" spans="1:10" ht="16.149999999999999" customHeight="1" x14ac:dyDescent="0.25">
      <c r="A39" s="1" t="s">
        <v>28</v>
      </c>
      <c r="B39" s="43">
        <v>72.599999999999994</v>
      </c>
      <c r="C39" s="43"/>
      <c r="D39" s="44">
        <f>(D35*D13)/1000000*(1+$B$28)</f>
        <v>117.70214908744933</v>
      </c>
      <c r="E39" s="44">
        <f>(E35*E13)/1000000*(1+$B$28)</f>
        <v>20.522974722702525</v>
      </c>
      <c r="F39" s="45">
        <f>(F35*F13)/1000000*(1+$B$28)</f>
        <v>0</v>
      </c>
      <c r="G39" s="45">
        <f>(G35*G13)/1000000*(1+$B$28)</f>
        <v>11.663465727760315</v>
      </c>
      <c r="H39" s="45">
        <f>(H35*H13)/1000000*(1+$B$28)</f>
        <v>49.966287177725199</v>
      </c>
      <c r="I39"/>
      <c r="J39" s="14"/>
    </row>
    <row r="40" spans="1:10" ht="16.149999999999999" customHeight="1" x14ac:dyDescent="0.25">
      <c r="A40" s="1" t="s">
        <v>29</v>
      </c>
      <c r="B40" s="43"/>
      <c r="C40" s="43"/>
      <c r="D40" s="44">
        <f>(D32*D14)/1000000*(1+$B$28)</f>
        <v>11.213389175662261</v>
      </c>
      <c r="E40" s="44">
        <f>(E32*E14)/1000000*(1+$B$28)</f>
        <v>2.8804393444982432</v>
      </c>
      <c r="F40" s="45">
        <f>(F32*F14)/1000000*(1+$B$28)</f>
        <v>0</v>
      </c>
      <c r="G40" s="45">
        <f>(G32*G14)/1000000*(1+$B$28)</f>
        <v>0</v>
      </c>
      <c r="H40" s="45">
        <f>(H32*H14)/1000000*(1+$B$28)</f>
        <v>5.0091895765553192</v>
      </c>
      <c r="I40"/>
      <c r="J40" s="14"/>
    </row>
    <row r="41" spans="1:10" ht="16.149999999999999" customHeight="1" x14ac:dyDescent="0.25">
      <c r="A41" s="1" t="s">
        <v>4</v>
      </c>
      <c r="B41" s="46"/>
      <c r="C41" s="46"/>
      <c r="D41" s="47">
        <f>(D32*D16)/1000000</f>
        <v>12.987733330740207</v>
      </c>
      <c r="E41" s="47">
        <f>(E32*E16)/1000000</f>
        <v>3.2712853326801894</v>
      </c>
      <c r="F41" s="48">
        <f>(F32*F16)/1000000</f>
        <v>0</v>
      </c>
      <c r="G41" s="48">
        <f>(G32*G16)/1000000</f>
        <v>0</v>
      </c>
      <c r="H41" s="48">
        <f>(H32*H16)/1000000</f>
        <v>5.4706154674125855</v>
      </c>
      <c r="I41"/>
      <c r="J41" s="14"/>
    </row>
    <row r="42" spans="1:10" ht="16.149999999999999" customHeight="1" x14ac:dyDescent="0.25">
      <c r="A42" s="1" t="s">
        <v>30</v>
      </c>
      <c r="B42" s="46"/>
      <c r="C42" s="46"/>
      <c r="D42" s="44">
        <f>((D36*D18)/1000000)*(1+$B$29)</f>
        <v>55.292715434598549</v>
      </c>
      <c r="E42" s="44">
        <f>((E36*E18)/1000000)*(1+$B$29)</f>
        <v>6.0029110303901909</v>
      </c>
      <c r="F42" s="45">
        <f>((F36*F18)/1000000)*(1+$B$29)</f>
        <v>0</v>
      </c>
      <c r="G42" s="45">
        <f>((G36*G18)/1000000)*(1+$B$29)</f>
        <v>11.426969925707047</v>
      </c>
      <c r="H42" s="45">
        <f>((H36*H18)/1000000)*(1+$B$29)</f>
        <v>23.777239021411216</v>
      </c>
      <c r="I42"/>
      <c r="J42" s="14"/>
    </row>
    <row r="43" spans="1:10" ht="16.149999999999999" customHeight="1" x14ac:dyDescent="0.25">
      <c r="A43" s="1" t="s">
        <v>8</v>
      </c>
      <c r="B43" s="46"/>
      <c r="C43" s="46"/>
      <c r="D43" s="47">
        <f>(D31*D20)/1000000</f>
        <v>73.508742196940418</v>
      </c>
      <c r="E43" s="47">
        <f>(E31*E20)/1000000</f>
        <v>18.928501115712159</v>
      </c>
      <c r="F43" s="45">
        <f>(F31*F20)/1000000</f>
        <v>0</v>
      </c>
      <c r="G43" s="45">
        <f>(G31*G20)/1000000</f>
        <v>0</v>
      </c>
      <c r="H43" s="45">
        <f>(H31*H20)/1000000</f>
        <v>36.935150426194298</v>
      </c>
      <c r="I43"/>
      <c r="J43" s="14"/>
    </row>
    <row r="44" spans="1:10" ht="15" x14ac:dyDescent="0.25">
      <c r="A44" s="1" t="s">
        <v>31</v>
      </c>
      <c r="B44" s="46"/>
      <c r="C44" s="46"/>
      <c r="D44" s="44"/>
      <c r="E44" s="44"/>
      <c r="F44" s="45">
        <v>1.52</v>
      </c>
      <c r="G44" s="45"/>
      <c r="H44" s="45"/>
      <c r="I44"/>
    </row>
    <row r="45" spans="1:10" ht="15.75" thickBot="1" x14ac:dyDescent="0.3">
      <c r="A45" s="49" t="s">
        <v>32</v>
      </c>
      <c r="B45" s="50"/>
      <c r="C45" s="50"/>
      <c r="D45" s="51">
        <f>SUM(D39:D44)</f>
        <v>270.70472922539079</v>
      </c>
      <c r="E45" s="51">
        <f>SUM(E39:E44)</f>
        <v>51.606111545983303</v>
      </c>
      <c r="F45" s="52">
        <f t="shared" ref="F45:H45" si="11">SUM(F39:F44)</f>
        <v>1.52</v>
      </c>
      <c r="G45" s="52">
        <f t="shared" si="11"/>
        <v>23.09043565346736</v>
      </c>
      <c r="H45" s="52">
        <f t="shared" si="11"/>
        <v>121.15848166929862</v>
      </c>
      <c r="I45"/>
    </row>
    <row r="46" spans="1:10" ht="16.149999999999999" customHeight="1" thickTop="1" x14ac:dyDescent="0.25">
      <c r="B46" s="54"/>
      <c r="C46" s="54"/>
      <c r="D46" s="55"/>
      <c r="E46" s="55"/>
      <c r="F46" s="56"/>
      <c r="G46" s="56"/>
      <c r="H46" s="56"/>
      <c r="I46"/>
    </row>
    <row r="47" spans="1:10" ht="16.149999999999999" customHeight="1" x14ac:dyDescent="0.25">
      <c r="A47" s="6" t="s">
        <v>33</v>
      </c>
      <c r="B47" s="57"/>
      <c r="C47" s="57"/>
      <c r="D47" s="55">
        <f>D45</f>
        <v>270.70472922539079</v>
      </c>
      <c r="E47" s="55">
        <f>E45</f>
        <v>51.606111545983303</v>
      </c>
      <c r="F47" s="56">
        <f t="shared" ref="F47:H47" si="12">F45</f>
        <v>1.52</v>
      </c>
      <c r="G47" s="56">
        <f t="shared" si="12"/>
        <v>23.09043565346736</v>
      </c>
      <c r="H47" s="56">
        <f t="shared" si="12"/>
        <v>121.15848166929862</v>
      </c>
      <c r="I47"/>
    </row>
    <row r="48" spans="1:10" ht="16.149999999999999" customHeight="1" x14ac:dyDescent="0.25">
      <c r="A48" s="6" t="s">
        <v>34</v>
      </c>
      <c r="B48" s="46"/>
      <c r="C48" s="46"/>
      <c r="D48" s="58">
        <f>D47*$B$23</f>
        <v>13.535236461269541</v>
      </c>
      <c r="E48" s="58">
        <f>E47*$B$23</f>
        <v>2.5803055772991654</v>
      </c>
      <c r="F48" s="59">
        <f t="shared" ref="F48:H48" si="13">F47*$B$23</f>
        <v>7.6000000000000012E-2</v>
      </c>
      <c r="G48" s="59">
        <f t="shared" si="13"/>
        <v>1.154521782673368</v>
      </c>
      <c r="H48" s="59">
        <f t="shared" si="13"/>
        <v>6.0579240834649317</v>
      </c>
      <c r="I48"/>
    </row>
    <row r="49" spans="1:9" ht="15.75" thickBot="1" x14ac:dyDescent="0.3">
      <c r="A49" s="60" t="s">
        <v>35</v>
      </c>
      <c r="B49" s="61"/>
      <c r="C49" s="61"/>
      <c r="D49" s="62">
        <f>+D47+D48</f>
        <v>284.23996568666036</v>
      </c>
      <c r="E49" s="62">
        <f>+E47+E48</f>
        <v>54.186417123282467</v>
      </c>
      <c r="F49" s="63">
        <f t="shared" ref="F49:H49" si="14">+F47+F48</f>
        <v>1.5960000000000001</v>
      </c>
      <c r="G49" s="63">
        <f t="shared" si="14"/>
        <v>24.244957436140727</v>
      </c>
      <c r="H49" s="63">
        <f t="shared" si="14"/>
        <v>127.21640575276355</v>
      </c>
      <c r="I49"/>
    </row>
    <row r="50" spans="1:9" ht="16.149999999999999" customHeight="1" thickTop="1" x14ac:dyDescent="0.25">
      <c r="B50" s="54"/>
      <c r="C50" s="54"/>
      <c r="D50" s="55"/>
      <c r="E50" s="55"/>
      <c r="F50" s="56"/>
      <c r="G50" s="56"/>
      <c r="H50" s="56"/>
      <c r="I50"/>
    </row>
    <row r="51" spans="1:9" ht="16.149999999999999" customHeight="1" x14ac:dyDescent="0.25">
      <c r="A51" s="1" t="s">
        <v>36</v>
      </c>
      <c r="B51" s="46"/>
      <c r="C51" s="46"/>
      <c r="D51" s="44">
        <f>$B$24*D49</f>
        <v>11.369598627466415</v>
      </c>
      <c r="E51" s="44">
        <f>$B$24*E49</f>
        <v>2.1674566849312988</v>
      </c>
      <c r="F51" s="45">
        <f t="shared" ref="F51:H51" si="15">$B$24*F49</f>
        <v>6.3840000000000008E-2</v>
      </c>
      <c r="G51" s="45">
        <f t="shared" si="15"/>
        <v>0.96979829744562907</v>
      </c>
      <c r="H51" s="45">
        <f t="shared" si="15"/>
        <v>5.0886562301105425</v>
      </c>
      <c r="I51"/>
    </row>
    <row r="52" spans="1:9" ht="15.75" thickBot="1" x14ac:dyDescent="0.3">
      <c r="A52" s="49" t="s">
        <v>37</v>
      </c>
      <c r="B52" s="50"/>
      <c r="C52" s="53"/>
      <c r="D52" s="51">
        <f>+D49+D51</f>
        <v>295.60956431412677</v>
      </c>
      <c r="E52" s="51">
        <f>+E49+E51</f>
        <v>56.353873808213763</v>
      </c>
      <c r="F52" s="64">
        <f t="shared" ref="F52:H52" si="16">+F49+F51</f>
        <v>1.65984</v>
      </c>
      <c r="G52" s="64">
        <f t="shared" si="16"/>
        <v>25.214755733586355</v>
      </c>
      <c r="H52" s="64">
        <f t="shared" si="16"/>
        <v>132.30506198287409</v>
      </c>
      <c r="I52"/>
    </row>
    <row r="53" spans="1:9" ht="14.25" thickTop="1" x14ac:dyDescent="0.25">
      <c r="D53" s="65"/>
      <c r="E53" s="65"/>
      <c r="F53" s="65"/>
      <c r="G53" s="65"/>
      <c r="H53" s="65"/>
      <c r="I53" s="65"/>
    </row>
    <row r="54" spans="1:9" x14ac:dyDescent="0.25">
      <c r="D54" s="65"/>
      <c r="E54" s="65"/>
      <c r="F54" s="65"/>
      <c r="G54" s="65"/>
      <c r="H54" s="65"/>
      <c r="I54" s="65"/>
    </row>
  </sheetData>
  <mergeCells count="1">
    <mergeCell ref="A8:G8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12802-F41A-4E04-8AB8-A39C8F926839}">
  <sheetPr>
    <tabColor theme="7" tint="0.39997558519241921"/>
  </sheetPr>
  <dimension ref="B2:K41"/>
  <sheetViews>
    <sheetView showGridLines="0" tabSelected="1" zoomScale="90" zoomScaleNormal="90" workbookViewId="0"/>
  </sheetViews>
  <sheetFormatPr defaultColWidth="9.140625" defaultRowHeight="15" outlineLevelRow="1" outlineLevelCol="1" x14ac:dyDescent="0.25"/>
  <cols>
    <col min="1" max="1" width="3.85546875" style="72" customWidth="1"/>
    <col min="2" max="2" width="25.5703125" style="72" customWidth="1"/>
    <col min="3" max="3" width="42.28515625" style="72" customWidth="1"/>
    <col min="4" max="4" width="49" style="73" customWidth="1"/>
    <col min="5" max="5" width="19.140625" style="73" customWidth="1" outlineLevel="1"/>
    <col min="6" max="8" width="17.28515625" style="75" customWidth="1"/>
    <col min="9" max="10" width="17.28515625" style="72" customWidth="1" outlineLevel="1"/>
    <col min="11" max="28" width="17.28515625" style="72" customWidth="1"/>
    <col min="29" max="16384" width="9.140625" style="72"/>
  </cols>
  <sheetData>
    <row r="2" spans="2:10" s="69" customFormat="1" ht="26.25" x14ac:dyDescent="0.4">
      <c r="B2" s="66" t="s">
        <v>38</v>
      </c>
      <c r="C2" s="66"/>
      <c r="D2" s="67"/>
      <c r="E2" s="67"/>
      <c r="F2" s="68"/>
      <c r="G2" s="68"/>
      <c r="H2" s="68"/>
    </row>
    <row r="3" spans="2:10" s="70" customFormat="1" ht="18.75" x14ac:dyDescent="0.25">
      <c r="B3" s="70" t="s">
        <v>39</v>
      </c>
      <c r="D3" s="71"/>
      <c r="E3" s="165" t="s">
        <v>40</v>
      </c>
      <c r="F3" s="165"/>
      <c r="G3" s="165"/>
      <c r="H3" s="165"/>
      <c r="I3" s="165"/>
      <c r="J3" s="165"/>
    </row>
    <row r="4" spans="2:10" x14ac:dyDescent="0.25">
      <c r="F4" s="74"/>
      <c r="I4" s="75"/>
    </row>
    <row r="5" spans="2:10" s="70" customFormat="1" ht="15.75" outlineLevel="1" x14ac:dyDescent="0.25">
      <c r="B5" s="76"/>
      <c r="D5" s="77" t="s">
        <v>41</v>
      </c>
      <c r="E5" s="78">
        <v>60</v>
      </c>
      <c r="F5" s="79">
        <f>G7</f>
        <v>50</v>
      </c>
      <c r="G5" s="79">
        <f>H7</f>
        <v>64</v>
      </c>
      <c r="H5" s="79">
        <f>I7</f>
        <v>30</v>
      </c>
      <c r="I5" s="79">
        <f>J7</f>
        <v>30</v>
      </c>
      <c r="J5" s="78">
        <v>30</v>
      </c>
    </row>
    <row r="6" spans="2:10" outlineLevel="1" x14ac:dyDescent="0.25">
      <c r="D6" s="80" t="s">
        <v>42</v>
      </c>
      <c r="I6" s="75"/>
    </row>
    <row r="7" spans="2:10" s="70" customFormat="1" ht="15.75" x14ac:dyDescent="0.25">
      <c r="B7" s="76" t="s">
        <v>43</v>
      </c>
      <c r="D7" s="77" t="s">
        <v>44</v>
      </c>
      <c r="E7" s="78">
        <v>36</v>
      </c>
      <c r="F7" s="79">
        <v>50</v>
      </c>
      <c r="G7" s="79">
        <v>50</v>
      </c>
      <c r="H7" s="79">
        <v>64</v>
      </c>
      <c r="I7" s="79">
        <v>30</v>
      </c>
      <c r="J7" s="78">
        <v>30</v>
      </c>
    </row>
    <row r="8" spans="2:10" s="70" customFormat="1" ht="15.75" x14ac:dyDescent="0.25">
      <c r="D8" s="77"/>
      <c r="F8" s="81"/>
      <c r="G8" s="81"/>
      <c r="H8" s="81"/>
      <c r="I8" s="81"/>
    </row>
    <row r="9" spans="2:10" s="70" customFormat="1" ht="15.75" x14ac:dyDescent="0.25">
      <c r="B9" s="76" t="s">
        <v>45</v>
      </c>
      <c r="D9" s="77" t="s">
        <v>46</v>
      </c>
      <c r="E9" s="82">
        <v>0.04</v>
      </c>
      <c r="F9" s="83">
        <v>0.03</v>
      </c>
      <c r="G9" s="83">
        <v>0.02</v>
      </c>
      <c r="H9" s="83">
        <v>2.5000000000000001E-2</v>
      </c>
      <c r="I9" s="83">
        <v>2.5000000000000001E-2</v>
      </c>
      <c r="J9" s="84">
        <v>2.5000000000000001E-2</v>
      </c>
    </row>
    <row r="10" spans="2:10" ht="9.75" customHeight="1" x14ac:dyDescent="0.25">
      <c r="I10" s="75"/>
    </row>
    <row r="11" spans="2:10" s="85" customFormat="1" ht="33.75" customHeight="1" x14ac:dyDescent="0.25">
      <c r="B11" s="166" t="s">
        <v>47</v>
      </c>
      <c r="C11" s="144" t="s">
        <v>48</v>
      </c>
      <c r="D11" s="145" t="s">
        <v>49</v>
      </c>
      <c r="E11" s="145">
        <v>2024</v>
      </c>
      <c r="F11" s="145">
        <f>E11+1</f>
        <v>2025</v>
      </c>
      <c r="G11" s="146">
        <f t="shared" ref="G11:J11" si="0">F11+1</f>
        <v>2026</v>
      </c>
      <c r="H11" s="146">
        <f t="shared" si="0"/>
        <v>2027</v>
      </c>
      <c r="I11" s="146">
        <f t="shared" si="0"/>
        <v>2028</v>
      </c>
      <c r="J11" s="147">
        <f t="shared" si="0"/>
        <v>2029</v>
      </c>
    </row>
    <row r="12" spans="2:10" outlineLevel="1" x14ac:dyDescent="0.25">
      <c r="B12" s="167"/>
      <c r="C12" s="148" t="s">
        <v>50</v>
      </c>
      <c r="D12" s="149">
        <f>388000+50000</f>
        <v>438000</v>
      </c>
      <c r="E12" s="149">
        <f t="shared" ref="E12:J14" si="1">D12*(1+E$9)</f>
        <v>455520</v>
      </c>
      <c r="F12" s="149">
        <f>E12*(1+F$9)</f>
        <v>469185.60000000003</v>
      </c>
      <c r="G12" s="150">
        <f t="shared" si="1"/>
        <v>478569.31200000003</v>
      </c>
      <c r="H12" s="150">
        <f t="shared" si="1"/>
        <v>490533.54479999997</v>
      </c>
      <c r="I12" s="150">
        <f t="shared" si="1"/>
        <v>502796.88341999991</v>
      </c>
      <c r="J12" s="151">
        <f t="shared" si="1"/>
        <v>515366.80550549988</v>
      </c>
    </row>
    <row r="13" spans="2:10" outlineLevel="1" x14ac:dyDescent="0.25">
      <c r="B13" s="167"/>
      <c r="C13" s="152" t="s">
        <v>51</v>
      </c>
      <c r="D13" s="153">
        <f>561936-D14</f>
        <v>348515.39099604171</v>
      </c>
      <c r="E13" s="153">
        <f t="shared" si="1"/>
        <v>362456.00663588342</v>
      </c>
      <c r="F13" s="153">
        <f>E13*(1+F$9)</f>
        <v>373329.68683495995</v>
      </c>
      <c r="G13" s="154">
        <f t="shared" si="1"/>
        <v>380796.28057165915</v>
      </c>
      <c r="H13" s="154">
        <f t="shared" si="1"/>
        <v>390316.1875859506</v>
      </c>
      <c r="I13" s="154">
        <f t="shared" si="1"/>
        <v>400074.09227559931</v>
      </c>
      <c r="J13" s="155">
        <f t="shared" si="1"/>
        <v>410075.94458248926</v>
      </c>
    </row>
    <row r="14" spans="2:10" outlineLevel="1" x14ac:dyDescent="0.25">
      <c r="B14" s="167"/>
      <c r="C14" s="152" t="s">
        <v>4</v>
      </c>
      <c r="D14" s="153">
        <v>213420.60900395832</v>
      </c>
      <c r="E14" s="153">
        <f t="shared" si="1"/>
        <v>221957.43336411667</v>
      </c>
      <c r="F14" s="153">
        <f>E14*(1+F$9)</f>
        <v>228616.15636504017</v>
      </c>
      <c r="G14" s="154">
        <f t="shared" si="1"/>
        <v>233188.47949234096</v>
      </c>
      <c r="H14" s="154">
        <f t="shared" si="1"/>
        <v>239018.19147964948</v>
      </c>
      <c r="I14" s="154">
        <f t="shared" si="1"/>
        <v>244993.64626664069</v>
      </c>
      <c r="J14" s="155">
        <f t="shared" si="1"/>
        <v>251118.48742330668</v>
      </c>
    </row>
    <row r="15" spans="2:10" outlineLevel="1" x14ac:dyDescent="0.25">
      <c r="B15" s="168"/>
      <c r="C15" s="156" t="s">
        <v>52</v>
      </c>
      <c r="D15" s="86">
        <f>SUM(D12:D14)</f>
        <v>999936</v>
      </c>
      <c r="E15" s="86">
        <f t="shared" ref="E15:J15" si="2">SUM(E12:E14)</f>
        <v>1039933.4400000001</v>
      </c>
      <c r="F15" s="86">
        <f t="shared" si="2"/>
        <v>1071131.4432000001</v>
      </c>
      <c r="G15" s="87">
        <f t="shared" si="2"/>
        <v>1092554.0720640002</v>
      </c>
      <c r="H15" s="87">
        <f t="shared" si="2"/>
        <v>1119867.9238656</v>
      </c>
      <c r="I15" s="87">
        <f t="shared" si="2"/>
        <v>1147864.62196224</v>
      </c>
      <c r="J15" s="157">
        <f t="shared" si="2"/>
        <v>1176561.2375112958</v>
      </c>
    </row>
    <row r="16" spans="2:10" outlineLevel="1" x14ac:dyDescent="0.25">
      <c r="B16" s="169" t="s">
        <v>53</v>
      </c>
      <c r="C16" s="152" t="str">
        <f>"Indirect Capital Costs "&amp;"("&amp;ROUND(E35*100,1)&amp;"%)"</f>
        <v>Indirect Capital Costs (26.7%)</v>
      </c>
      <c r="D16" s="158">
        <f t="shared" ref="D16:J16" si="3">D15*$E35</f>
        <v>266560.87178001041</v>
      </c>
      <c r="E16" s="159">
        <f t="shared" si="3"/>
        <v>277223.30665121082</v>
      </c>
      <c r="F16" s="159">
        <f t="shared" si="3"/>
        <v>285540.00585074717</v>
      </c>
      <c r="G16" s="160">
        <f t="shared" si="3"/>
        <v>291250.80596776213</v>
      </c>
      <c r="H16" s="160">
        <f t="shared" si="3"/>
        <v>298532.07611695613</v>
      </c>
      <c r="I16" s="160">
        <f t="shared" si="3"/>
        <v>305995.37801988004</v>
      </c>
      <c r="J16" s="161">
        <f t="shared" si="3"/>
        <v>313645.26247037697</v>
      </c>
    </row>
    <row r="17" spans="2:11" outlineLevel="1" x14ac:dyDescent="0.25">
      <c r="B17" s="169"/>
      <c r="C17" s="152" t="str">
        <f>"O&amp;M "&amp;"("&amp;ROUND(E36*100,1)&amp;"%)"</f>
        <v>O&amp;M (4%)</v>
      </c>
      <c r="D17" s="158">
        <f t="shared" ref="D17:J17" si="4">D15*$E36</f>
        <v>39997.440000000002</v>
      </c>
      <c r="E17" s="159">
        <f t="shared" si="4"/>
        <v>41597.337600000006</v>
      </c>
      <c r="F17" s="159">
        <f t="shared" si="4"/>
        <v>42845.257728000004</v>
      </c>
      <c r="G17" s="160">
        <f t="shared" si="4"/>
        <v>43702.162882560006</v>
      </c>
      <c r="H17" s="160">
        <f t="shared" si="4"/>
        <v>44794.716954624004</v>
      </c>
      <c r="I17" s="160">
        <f t="shared" si="4"/>
        <v>45914.584878489601</v>
      </c>
      <c r="J17" s="161">
        <f t="shared" si="4"/>
        <v>47062.449500451832</v>
      </c>
    </row>
    <row r="18" spans="2:11" outlineLevel="1" x14ac:dyDescent="0.25">
      <c r="B18" s="169"/>
      <c r="C18" s="152" t="str">
        <f>"AFUDC "&amp;"("&amp;ROUND(E37*100,1)&amp;"%)"</f>
        <v>AFUDC (5%)</v>
      </c>
      <c r="D18" s="158">
        <f t="shared" ref="D18:J18" si="5">SUM(D15:D17)*$E37</f>
        <v>65324.715589000523</v>
      </c>
      <c r="E18" s="159">
        <f t="shared" si="5"/>
        <v>67937.704212560537</v>
      </c>
      <c r="F18" s="159">
        <f t="shared" si="5"/>
        <v>69975.835338937366</v>
      </c>
      <c r="G18" s="160">
        <f t="shared" si="5"/>
        <v>71375.352045716121</v>
      </c>
      <c r="H18" s="160">
        <f t="shared" si="5"/>
        <v>73159.73584685901</v>
      </c>
      <c r="I18" s="160">
        <f t="shared" si="5"/>
        <v>74988.729243030481</v>
      </c>
      <c r="J18" s="161">
        <f t="shared" si="5"/>
        <v>76863.447474106229</v>
      </c>
    </row>
    <row r="19" spans="2:11" s="85" customFormat="1" outlineLevel="1" x14ac:dyDescent="0.25">
      <c r="B19" s="169"/>
      <c r="C19" s="162" t="s">
        <v>54</v>
      </c>
      <c r="D19" s="88">
        <f t="shared" ref="D19:J19" si="6">SUM(D15:D18)</f>
        <v>1371819.027369011</v>
      </c>
      <c r="E19" s="88">
        <f t="shared" si="6"/>
        <v>1426691.7884637713</v>
      </c>
      <c r="F19" s="88">
        <f t="shared" si="6"/>
        <v>1469492.5421176846</v>
      </c>
      <c r="G19" s="89">
        <f t="shared" si="6"/>
        <v>1498882.3929600383</v>
      </c>
      <c r="H19" s="89">
        <f t="shared" si="6"/>
        <v>1536354.4527840391</v>
      </c>
      <c r="I19" s="89">
        <f t="shared" si="6"/>
        <v>1574763.3141036402</v>
      </c>
      <c r="J19" s="163">
        <f t="shared" si="6"/>
        <v>1614132.3969562307</v>
      </c>
    </row>
    <row r="20" spans="2:11" s="85" customFormat="1" ht="15.75" outlineLevel="1" x14ac:dyDescent="0.25">
      <c r="B20" s="90"/>
      <c r="C20" s="142" t="s">
        <v>55</v>
      </c>
      <c r="D20" s="124">
        <f>SUM(D15:D16)</f>
        <v>1266496.8717800104</v>
      </c>
      <c r="E20" s="124">
        <f t="shared" ref="E20:J20" si="7">SUM(E15:E16)</f>
        <v>1317156.7466512108</v>
      </c>
      <c r="F20" s="124">
        <f t="shared" si="7"/>
        <v>1356671.4490507473</v>
      </c>
      <c r="G20" s="125">
        <f t="shared" si="7"/>
        <v>1383804.8780317623</v>
      </c>
      <c r="H20" s="125">
        <f t="shared" si="7"/>
        <v>1418399.9999825561</v>
      </c>
      <c r="I20" s="125">
        <f t="shared" si="7"/>
        <v>1453859.99998212</v>
      </c>
      <c r="J20" s="143">
        <f t="shared" si="7"/>
        <v>1490206.4999816727</v>
      </c>
    </row>
    <row r="21" spans="2:11" s="85" customFormat="1" ht="6.75" customHeight="1" outlineLevel="1" x14ac:dyDescent="0.25">
      <c r="B21" s="90"/>
      <c r="D21" s="91"/>
      <c r="E21" s="91"/>
      <c r="F21" s="91"/>
      <c r="G21" s="92"/>
      <c r="H21" s="92"/>
      <c r="I21" s="92"/>
      <c r="J21" s="91"/>
    </row>
    <row r="22" spans="2:11" s="97" customFormat="1" ht="15.75" outlineLevel="1" x14ac:dyDescent="0.25">
      <c r="B22" s="90"/>
      <c r="C22" s="93"/>
      <c r="D22" s="94" t="s">
        <v>56</v>
      </c>
      <c r="E22" s="95">
        <f t="shared" ref="E22:J22" si="8">E20*E7</f>
        <v>47417642.879443586</v>
      </c>
      <c r="F22" s="95">
        <f>F20*F7</f>
        <v>67833572.452537373</v>
      </c>
      <c r="G22" s="96">
        <f t="shared" si="8"/>
        <v>69190243.901588112</v>
      </c>
      <c r="H22" s="96">
        <f t="shared" si="8"/>
        <v>90777599.99888359</v>
      </c>
      <c r="I22" s="96">
        <f t="shared" si="8"/>
        <v>43615799.999463603</v>
      </c>
      <c r="J22" s="95">
        <f t="shared" si="8"/>
        <v>44706194.999450184</v>
      </c>
    </row>
    <row r="23" spans="2:11" s="97" customFormat="1" ht="15.75" outlineLevel="1" x14ac:dyDescent="0.25">
      <c r="B23" s="90"/>
      <c r="C23" s="98"/>
      <c r="D23" s="99"/>
      <c r="E23" s="100"/>
      <c r="F23" s="100"/>
      <c r="G23" s="92"/>
      <c r="H23" s="92"/>
      <c r="I23" s="92"/>
      <c r="J23" s="100"/>
    </row>
    <row r="24" spans="2:11" s="102" customFormat="1" ht="15.75" outlineLevel="1" x14ac:dyDescent="0.25">
      <c r="B24" s="101"/>
      <c r="C24" s="102" t="s">
        <v>57</v>
      </c>
      <c r="D24" s="103">
        <f>SUM(D15:D16,D18)</f>
        <v>1331821.587369011</v>
      </c>
      <c r="E24" s="103">
        <f t="shared" ref="E24:J24" si="9">SUM(E15:E16,E18)</f>
        <v>1385094.4508637714</v>
      </c>
      <c r="F24" s="103">
        <f t="shared" si="9"/>
        <v>1426647.2843896847</v>
      </c>
      <c r="G24" s="104">
        <f t="shared" si="9"/>
        <v>1455180.2300774783</v>
      </c>
      <c r="H24" s="104">
        <f t="shared" si="9"/>
        <v>1491559.735829415</v>
      </c>
      <c r="I24" s="104">
        <f t="shared" si="9"/>
        <v>1528848.7292251505</v>
      </c>
      <c r="J24" s="103">
        <f t="shared" si="9"/>
        <v>1567069.947455779</v>
      </c>
    </row>
    <row r="25" spans="2:11" s="102" customFormat="1" ht="15.75" outlineLevel="1" x14ac:dyDescent="0.25">
      <c r="B25" s="101"/>
      <c r="C25" s="105"/>
      <c r="D25" s="103"/>
      <c r="E25" s="106">
        <f>E11</f>
        <v>2024</v>
      </c>
      <c r="F25" s="106">
        <f t="shared" ref="F25:J25" si="10">F11</f>
        <v>2025</v>
      </c>
      <c r="G25" s="107">
        <f t="shared" si="10"/>
        <v>2026</v>
      </c>
      <c r="H25" s="107">
        <f t="shared" si="10"/>
        <v>2027</v>
      </c>
      <c r="I25" s="107">
        <f t="shared" si="10"/>
        <v>2028</v>
      </c>
      <c r="J25" s="106">
        <f t="shared" si="10"/>
        <v>2029</v>
      </c>
    </row>
    <row r="26" spans="2:11" s="97" customFormat="1" ht="15.75" x14ac:dyDescent="0.25">
      <c r="B26" s="90"/>
      <c r="C26" s="98"/>
      <c r="D26" s="126" t="s">
        <v>50</v>
      </c>
      <c r="E26" s="127">
        <v>37636879.39977932</v>
      </c>
      <c r="F26" s="127">
        <f>(E12*(1+F$9)*F$5)*1.3</f>
        <v>30497064</v>
      </c>
      <c r="G26" s="128">
        <f>(F12*(1+G$9)*G$5)*1.3</f>
        <v>39816966.758400001</v>
      </c>
      <c r="H26" s="128">
        <f t="shared" ref="H26:J26" si="11">(G12*(1+H$9)*H$5)*1.3</f>
        <v>19130808.247199997</v>
      </c>
      <c r="I26" s="128">
        <f t="shared" si="11"/>
        <v>19609078.453379996</v>
      </c>
      <c r="J26" s="129">
        <f t="shared" si="11"/>
        <v>20099305.414714497</v>
      </c>
      <c r="K26" s="102"/>
    </row>
    <row r="27" spans="2:11" s="97" customFormat="1" ht="15.75" x14ac:dyDescent="0.25">
      <c r="B27" s="90"/>
      <c r="C27" s="98"/>
      <c r="D27" s="130" t="s">
        <v>51</v>
      </c>
      <c r="E27" s="131">
        <v>15314549.632287284</v>
      </c>
      <c r="F27" s="131">
        <f t="shared" ref="F27:J28" si="12">E13*(1+F$9)*F$7</f>
        <v>18666484.341747999</v>
      </c>
      <c r="G27" s="132">
        <f t="shared" si="12"/>
        <v>19039814.028582957</v>
      </c>
      <c r="H27" s="132">
        <f t="shared" si="12"/>
        <v>24980236.005500838</v>
      </c>
      <c r="I27" s="132">
        <f t="shared" si="12"/>
        <v>12002222.76826798</v>
      </c>
      <c r="J27" s="133">
        <f t="shared" si="12"/>
        <v>12302278.337474678</v>
      </c>
      <c r="K27" s="102"/>
    </row>
    <row r="28" spans="2:11" s="97" customFormat="1" ht="15.75" x14ac:dyDescent="0.25">
      <c r="B28" s="90"/>
      <c r="C28" s="98"/>
      <c r="D28" s="130" t="s">
        <v>4</v>
      </c>
      <c r="E28" s="131">
        <v>9378181.2613871619</v>
      </c>
      <c r="F28" s="131">
        <f t="shared" si="12"/>
        <v>11430807.818252008</v>
      </c>
      <c r="G28" s="132">
        <f t="shared" si="12"/>
        <v>11659423.974617049</v>
      </c>
      <c r="H28" s="132">
        <f t="shared" si="12"/>
        <v>15297164.254697567</v>
      </c>
      <c r="I28" s="132">
        <f t="shared" si="12"/>
        <v>7349809.3879992208</v>
      </c>
      <c r="J28" s="133">
        <f t="shared" si="12"/>
        <v>7533554.6226992002</v>
      </c>
      <c r="K28" s="102"/>
    </row>
    <row r="29" spans="2:11" s="102" customFormat="1" ht="15.75" x14ac:dyDescent="0.25">
      <c r="B29" s="101"/>
      <c r="C29" s="105"/>
      <c r="D29" s="134" t="s">
        <v>58</v>
      </c>
      <c r="E29" s="108">
        <f>SUM(E26:E28)</f>
        <v>62329610.293453768</v>
      </c>
      <c r="F29" s="108">
        <f>SUM(F26:F28)</f>
        <v>60594356.160000011</v>
      </c>
      <c r="G29" s="109">
        <f>SUM(G26:G28)</f>
        <v>70516204.761600003</v>
      </c>
      <c r="H29" s="109">
        <f t="shared" ref="H29:J29" si="13">SUM(H26:H28)</f>
        <v>59408208.507398404</v>
      </c>
      <c r="I29" s="109">
        <f t="shared" si="13"/>
        <v>38961110.6096472</v>
      </c>
      <c r="J29" s="135">
        <f t="shared" si="13"/>
        <v>39935138.374888375</v>
      </c>
    </row>
    <row r="30" spans="2:11" s="102" customFormat="1" ht="15.75" x14ac:dyDescent="0.25">
      <c r="B30" s="101"/>
      <c r="C30" s="105"/>
      <c r="D30" s="130" t="s">
        <v>11</v>
      </c>
      <c r="E30" s="136">
        <v>16615698.662245728</v>
      </c>
      <c r="F30" s="136">
        <f t="shared" ref="F30:J30" si="14">F29*$E$35</f>
        <v>16153118.202523008</v>
      </c>
      <c r="G30" s="92">
        <f t="shared" si="14"/>
        <v>18798064.091971703</v>
      </c>
      <c r="H30" s="92">
        <f t="shared" si="14"/>
        <v>15836917.413335202</v>
      </c>
      <c r="I30" s="92">
        <f t="shared" si="14"/>
        <v>10386172.324653748</v>
      </c>
      <c r="J30" s="137">
        <f t="shared" si="14"/>
        <v>10645826.632770089</v>
      </c>
    </row>
    <row r="31" spans="2:11" s="97" customFormat="1" ht="15.75" x14ac:dyDescent="0.25">
      <c r="B31" s="101"/>
      <c r="C31" s="93"/>
      <c r="D31" s="138" t="s">
        <v>59</v>
      </c>
      <c r="E31" s="139">
        <f>SUM(E29:E30)</f>
        <v>78945308.955699503</v>
      </c>
      <c r="F31" s="139">
        <f>SUM(F29:F30)</f>
        <v>76747474.362523019</v>
      </c>
      <c r="G31" s="140">
        <f>SUM(G29:G30)</f>
        <v>89314268.853571713</v>
      </c>
      <c r="H31" s="140">
        <f t="shared" ref="H31:J31" si="15">SUM(H29:H30)</f>
        <v>75245125.920733601</v>
      </c>
      <c r="I31" s="140">
        <f t="shared" si="15"/>
        <v>49347282.934300944</v>
      </c>
      <c r="J31" s="141">
        <f t="shared" si="15"/>
        <v>50580965.007658467</v>
      </c>
    </row>
    <row r="32" spans="2:11" s="97" customFormat="1" ht="15.75" x14ac:dyDescent="0.25">
      <c r="B32" s="101"/>
      <c r="C32" s="98"/>
      <c r="D32" s="99"/>
      <c r="E32" s="100"/>
      <c r="F32" s="100"/>
      <c r="G32" s="92"/>
      <c r="H32" s="92"/>
      <c r="I32" s="92"/>
      <c r="J32" s="100"/>
    </row>
    <row r="34" spans="2:10" x14ac:dyDescent="0.25">
      <c r="D34" s="110" t="s">
        <v>60</v>
      </c>
      <c r="E34" s="111" t="s">
        <v>61</v>
      </c>
      <c r="F34" s="112" t="s">
        <v>62</v>
      </c>
      <c r="G34" s="113"/>
      <c r="H34" s="113"/>
      <c r="I34" s="114"/>
      <c r="J34" s="114"/>
    </row>
    <row r="35" spans="2:10" x14ac:dyDescent="0.25">
      <c r="D35" s="115" t="s">
        <v>63</v>
      </c>
      <c r="E35" s="116">
        <v>0.26657793276770753</v>
      </c>
      <c r="F35" s="75" t="s">
        <v>64</v>
      </c>
    </row>
    <row r="36" spans="2:10" x14ac:dyDescent="0.25">
      <c r="D36" s="115" t="s">
        <v>65</v>
      </c>
      <c r="E36" s="117">
        <v>0.04</v>
      </c>
      <c r="F36" s="75" t="s">
        <v>64</v>
      </c>
    </row>
    <row r="37" spans="2:10" x14ac:dyDescent="0.25">
      <c r="D37" s="118" t="s">
        <v>66</v>
      </c>
      <c r="E37" s="119">
        <v>0.05</v>
      </c>
      <c r="F37" s="75" t="s">
        <v>64</v>
      </c>
      <c r="G37" s="120"/>
      <c r="H37" s="120"/>
      <c r="I37" s="121"/>
      <c r="J37" s="121"/>
    </row>
    <row r="38" spans="2:10" x14ac:dyDescent="0.25">
      <c r="F38" s="113"/>
      <c r="G38" s="113"/>
      <c r="H38" s="113"/>
      <c r="I38" s="114"/>
      <c r="J38" s="114"/>
    </row>
    <row r="39" spans="2:10" ht="4.9000000000000004" customHeight="1" x14ac:dyDescent="0.25">
      <c r="B39" s="122"/>
      <c r="C39" s="122"/>
      <c r="D39" s="123"/>
      <c r="E39" s="123"/>
      <c r="I39" s="122"/>
      <c r="J39" s="122"/>
    </row>
    <row r="40" spans="2:10" ht="4.9000000000000004" customHeight="1" x14ac:dyDescent="0.25"/>
    <row r="41" spans="2:10" ht="4.9000000000000004" customHeight="1" x14ac:dyDescent="0.25"/>
  </sheetData>
  <mergeCells count="3">
    <mergeCell ref="E3:J3"/>
    <mergeCell ref="B11:B15"/>
    <mergeCell ref="B16:B19"/>
  </mergeCell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MPvsNon_x002d_case xmlns="1b8c7dd4-7e51-4561-9313-e48b722d387b" xsi:nil="true"/>
    <DateReceived xmlns="1b8c7dd4-7e51-4561-9313-e48b722d387b" xsi:nil="true"/>
    <YearRecieved xmlns="1b8c7dd4-7e51-4561-9313-e48b722d387b" xsi:nil="true"/>
    <WMPVersion xmlns="1b8c7dd4-7e51-4561-9313-e48b722d387b" xsi:nil="true"/>
    <TaxCatchAll xmlns="de18837b-0a11-4028-9fd9-bf24d275bb00" xsi:nil="true"/>
    <lcf76f155ced4ddcb4097134ff3c332f xmlns="1b8c7dd4-7e51-4561-9313-e48b722d387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7F36BC4540624EA8AAB8F44485111C" ma:contentTypeVersion="20" ma:contentTypeDescription="Create a new document." ma:contentTypeScope="" ma:versionID="4b72a3daf95704a3d8c91a1338bc556d">
  <xsd:schema xmlns:xsd="http://www.w3.org/2001/XMLSchema" xmlns:xs="http://www.w3.org/2001/XMLSchema" xmlns:p="http://schemas.microsoft.com/office/2006/metadata/properties" xmlns:ns2="1b8c7dd4-7e51-4561-9313-e48b722d387b" xmlns:ns3="de18837b-0a11-4028-9fd9-bf24d275bb00" targetNamespace="http://schemas.microsoft.com/office/2006/metadata/properties" ma:root="true" ma:fieldsID="379cf66475c9b927e652d256b523723f" ns2:_="" ns3:_="">
    <xsd:import namespace="1b8c7dd4-7e51-4561-9313-e48b722d387b"/>
    <xsd:import namespace="de18837b-0a11-4028-9fd9-bf24d275bb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WMPvsNon_x002d_case" minOccurs="0"/>
                <xsd:element ref="ns2:WMPVersion" minOccurs="0"/>
                <xsd:element ref="ns2:YearRecieved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DateReceived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c7dd4-7e51-4561-9313-e48b722d38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MPvsNon_x002d_case" ma:index="12" nillable="true" ma:displayName="Filing" ma:format="Dropdown" ma:internalName="WMPvsNon_x002d_case">
      <xsd:simpleType>
        <xsd:restriction base="dms:Choice">
          <xsd:enumeration value="WMP"/>
          <xsd:enumeration value="Non-case"/>
          <xsd:enumeration value="SVM"/>
          <xsd:enumeration value="AFN"/>
          <xsd:enumeration value="Independent Evaluator"/>
          <xsd:enumeration value="PSPS"/>
          <xsd:enumeration value="SB884"/>
        </xsd:restriction>
      </xsd:simpleType>
    </xsd:element>
    <xsd:element name="WMPVersion" ma:index="13" nillable="true" ma:displayName="WMP Version" ma:format="Dropdown" ma:internalName="WMPVersion">
      <xsd:simpleType>
        <xsd:restriction base="dms:Choice">
          <xsd:enumeration value="2025 WMP Update (2024 Filing)"/>
          <xsd:enumeration value="2023-2025 WMP"/>
          <xsd:enumeration value="2022 WMP"/>
          <xsd:enumeration value="2021 WMP"/>
          <xsd:enumeration value="2020 WMP"/>
          <xsd:enumeration value="2019 WMP"/>
        </xsd:restriction>
      </xsd:simpleType>
    </xsd:element>
    <xsd:element name="YearRecieved" ma:index="14" nillable="true" ma:displayName="Year Recieved" ma:format="Dropdown" ma:internalName="YearRecieved">
      <xsd:simpleType>
        <xsd:restriction base="dms:Choice"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DateReceived" ma:index="24" nillable="true" ma:displayName="Date Received" ma:format="DateOnly" ma:internalName="DateReceived">
      <xsd:simpleType>
        <xsd:restriction base="dms:DateTim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8837b-0a11-4028-9fd9-bf24d275bb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c7c7acb-5488-4283-902a-be16ec1310d5}" ma:internalName="TaxCatchAll" ma:showField="CatchAllData" ma:web="de18837b-0a11-4028-9fd9-bf24d275bb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013EBC-03B3-46E5-AE99-88B59BCE509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de18837b-0a11-4028-9fd9-bf24d275bb00"/>
    <ds:schemaRef ds:uri="1b8c7dd4-7e51-4561-9313-e48b722d387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4733A09-D3D2-4017-A709-92BE5C714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F41708-B6EE-48B8-9863-1376D31F1B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c7dd4-7e51-4561-9313-e48b722d387b"/>
    <ds:schemaRef ds:uri="de18837b-0a11-4028-9fd9-bf24d275bb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SUG 10YR Plan (Table 11)</vt:lpstr>
      <vt:lpstr>CC 10YR Plan (Table 11)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2025-06-06T22:32:18Z</dcterms:created>
  <dcterms:modified xsi:type="dcterms:W3CDTF">2025-06-06T22:56:18Z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0x010100037F36BC4540624EA8AAB8F44485111C</vt:lpwstr>
  </property>
  <property fmtid="{D5CDD505-2E9C-101B-9397-08002B2CF9AE}" pid="4" name="CofWorkbookId">
    <vt:lpwstr>68b6ebde-0f24-4de8-8254-53f910c277f1</vt:lpwstr>
  </property>
</Properties>
</file>